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cae2e708aab6fe38/Desktop/"/>
    </mc:Choice>
  </mc:AlternateContent>
  <xr:revisionPtr revIDLastSave="23" documentId="114_{4C8D8A5C-8DC3-4364-A23E-737A30BE2378}" xr6:coauthVersionLast="45" xr6:coauthVersionMax="45" xr10:uidLastSave="{8805F047-58F2-47C8-AE02-A0737BAE21DF}"/>
  <bookViews>
    <workbookView xWindow="-110" yWindow="-110" windowWidth="19420" windowHeight="10420" activeTab="1" xr2:uid="{BBC3D348-4509-489A-ACAF-6AE49C782B38}"/>
  </bookViews>
  <sheets>
    <sheet name="Overview &amp; Sources" sheetId="19" r:id="rId1"/>
    <sheet name="Facility Index Tool" sheetId="16" r:id="rId2"/>
    <sheet name="Data Details" sheetId="12" state="hidden" r:id="rId3"/>
    <sheet name="Chart" sheetId="8" state="hidden" r:id="rId4"/>
    <sheet name="Alt Chart" sheetId="15" state="hidden" r:id="rId5"/>
    <sheet name="Indiana Figures" sheetId="6" state="hidden" r:id="rId6"/>
    <sheet name="Indiana Audits" sheetId="14" state="hidden" r:id="rId7"/>
    <sheet name="Analysis" sheetId="3" state="hidden" r:id="rId8"/>
    <sheet name="Funding Tool Inputs_Outputs (2)" sheetId="17"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16" l="1"/>
  <c r="F104" i="12" l="1"/>
  <c r="D104" i="12"/>
  <c r="AC47" i="3" l="1"/>
  <c r="I32" i="16" l="1"/>
  <c r="I29" i="16"/>
  <c r="D24" i="12"/>
  <c r="D26" i="12" s="1"/>
  <c r="K46" i="12" l="1"/>
  <c r="D9" i="12"/>
  <c r="D6" i="12"/>
  <c r="K9" i="12"/>
  <c r="K6" i="12"/>
  <c r="K70" i="12" l="1"/>
  <c r="K40" i="12"/>
  <c r="K34" i="12"/>
  <c r="D20" i="12" l="1"/>
  <c r="D17" i="16" s="1"/>
  <c r="D19" i="12"/>
  <c r="D58" i="12" s="1"/>
  <c r="D7" i="12"/>
  <c r="D116" i="12" s="1"/>
  <c r="K7" i="12" l="1"/>
  <c r="D16" i="16"/>
  <c r="D61" i="12"/>
  <c r="D27" i="12"/>
  <c r="F60" i="12"/>
  <c r="H58" i="12" s="1"/>
  <c r="K47" i="12"/>
  <c r="F47" i="12"/>
  <c r="F45" i="12"/>
  <c r="K45" i="12" s="1"/>
  <c r="K35" i="12"/>
  <c r="K20" i="12"/>
  <c r="E17" i="16" s="1"/>
  <c r="F20" i="12"/>
  <c r="F7" i="12"/>
  <c r="E116" i="12" s="1"/>
  <c r="K84" i="12"/>
  <c r="K85" i="12" s="1"/>
  <c r="K86" i="12" s="1"/>
  <c r="K87" i="12" s="1"/>
  <c r="K62" i="12"/>
  <c r="E16" i="16" l="1"/>
  <c r="F116" i="12"/>
  <c r="F22" i="12"/>
  <c r="K22" i="12" s="1"/>
  <c r="F58" i="12"/>
  <c r="K23" i="12"/>
  <c r="F23" i="12"/>
  <c r="F34" i="12"/>
  <c r="F61" i="12" l="1"/>
  <c r="F31" i="16" s="1"/>
  <c r="G31" i="16" s="1"/>
  <c r="D70" i="12"/>
  <c r="K71" i="12" s="1"/>
  <c r="F70" i="12"/>
  <c r="K61" i="12" l="1"/>
  <c r="K58" i="12" s="1"/>
  <c r="F71" i="12"/>
  <c r="H20" i="12"/>
  <c r="H61" i="12" s="1"/>
  <c r="D10" i="12"/>
  <c r="D46" i="12"/>
  <c r="H78" i="14"/>
  <c r="C9" i="6"/>
  <c r="F6" i="6"/>
  <c r="E6" i="6"/>
  <c r="D6" i="6"/>
  <c r="C6" i="6"/>
  <c r="K63" i="12" l="1"/>
  <c r="K64" i="12" s="1"/>
  <c r="F63" i="12"/>
  <c r="F24" i="12"/>
  <c r="H6" i="6"/>
  <c r="L76" i="14"/>
  <c r="M76" i="14" s="1"/>
  <c r="N76" i="14"/>
  <c r="K76" i="14"/>
  <c r="I76" i="14"/>
  <c r="E76" i="14"/>
  <c r="O76" i="14" s="1"/>
  <c r="N75" i="14"/>
  <c r="M75" i="14"/>
  <c r="K75" i="14"/>
  <c r="I75" i="14"/>
  <c r="E75" i="14"/>
  <c r="L62" i="14"/>
  <c r="K62" i="14"/>
  <c r="L61" i="14"/>
  <c r="K61" i="14"/>
  <c r="N74" i="14"/>
  <c r="M74" i="14"/>
  <c r="K74" i="14"/>
  <c r="I74" i="14"/>
  <c r="E74" i="14"/>
  <c r="O74" i="14" s="1"/>
  <c r="N73" i="14"/>
  <c r="M73" i="14"/>
  <c r="K73" i="14"/>
  <c r="I73" i="14"/>
  <c r="E73" i="14"/>
  <c r="O73" i="14" s="1"/>
  <c r="K24" i="12" l="1"/>
  <c r="K25" i="12" s="1"/>
  <c r="O75" i="14"/>
  <c r="K88" i="12" l="1"/>
  <c r="K89" i="12" s="1"/>
  <c r="K90" i="12" s="1"/>
  <c r="K74" i="12" s="1"/>
  <c r="K28" i="12"/>
  <c r="H45" i="12"/>
  <c r="H44" i="12"/>
  <c r="F44" i="12"/>
  <c r="Q57" i="14"/>
  <c r="M56" i="14"/>
  <c r="Q56" i="14" s="1"/>
  <c r="D13" i="12"/>
  <c r="P58" i="14"/>
  <c r="M57" i="14"/>
  <c r="O57" i="14"/>
  <c r="P57" i="14" s="1"/>
  <c r="O56" i="14"/>
  <c r="N57" i="14"/>
  <c r="N56" i="14"/>
  <c r="L57" i="14"/>
  <c r="L56" i="14"/>
  <c r="O3" i="14"/>
  <c r="O5" i="14"/>
  <c r="O6" i="14"/>
  <c r="O7" i="14"/>
  <c r="O8" i="14"/>
  <c r="O9" i="14"/>
  <c r="O10" i="14"/>
  <c r="O11" i="14"/>
  <c r="O12" i="14"/>
  <c r="O13" i="14"/>
  <c r="O14" i="14"/>
  <c r="O15" i="14"/>
  <c r="O17" i="14"/>
  <c r="O18" i="14"/>
  <c r="O21" i="14"/>
  <c r="O24" i="14"/>
  <c r="O26" i="14"/>
  <c r="O27" i="14"/>
  <c r="O28" i="14"/>
  <c r="O29" i="14"/>
  <c r="O32" i="14"/>
  <c r="O33" i="14"/>
  <c r="O34" i="14"/>
  <c r="O36" i="14"/>
  <c r="O37" i="14"/>
  <c r="O38" i="14"/>
  <c r="O39" i="14"/>
  <c r="O40" i="14"/>
  <c r="O41" i="14"/>
  <c r="O42" i="14"/>
  <c r="O43" i="14"/>
  <c r="O45" i="14"/>
  <c r="O46" i="14"/>
  <c r="O47" i="14"/>
  <c r="O48" i="14"/>
  <c r="O49" i="14"/>
  <c r="O50" i="14"/>
  <c r="O51" i="14"/>
  <c r="O52" i="14"/>
  <c r="O53" i="14"/>
  <c r="O54" i="14"/>
  <c r="O2" i="14"/>
  <c r="O72" i="14"/>
  <c r="O70" i="14"/>
  <c r="O69" i="14"/>
  <c r="O68" i="14"/>
  <c r="O67" i="14"/>
  <c r="O55" i="14"/>
  <c r="L72" i="14"/>
  <c r="N72" i="14"/>
  <c r="M72" i="14"/>
  <c r="K72" i="14"/>
  <c r="I72" i="14"/>
  <c r="E72" i="14"/>
  <c r="I71" i="14"/>
  <c r="E71" i="14"/>
  <c r="N70" i="14"/>
  <c r="M70" i="14"/>
  <c r="K70" i="14"/>
  <c r="I70" i="14"/>
  <c r="E70" i="14"/>
  <c r="N69" i="14"/>
  <c r="M69" i="14"/>
  <c r="K69" i="14"/>
  <c r="I69" i="14"/>
  <c r="E69" i="14"/>
  <c r="K68" i="14"/>
  <c r="D67" i="14"/>
  <c r="N67" i="14" s="1"/>
  <c r="I67" i="14"/>
  <c r="N55" i="14"/>
  <c r="L55" i="14"/>
  <c r="N3" i="14"/>
  <c r="N5" i="14"/>
  <c r="N6" i="14"/>
  <c r="N7" i="14"/>
  <c r="N8" i="14"/>
  <c r="N9" i="14"/>
  <c r="N10" i="14"/>
  <c r="N11" i="14"/>
  <c r="N12" i="14"/>
  <c r="N13" i="14"/>
  <c r="N14" i="14"/>
  <c r="N15" i="14"/>
  <c r="N17" i="14"/>
  <c r="N18" i="14"/>
  <c r="N21" i="14"/>
  <c r="N24" i="14"/>
  <c r="N26" i="14"/>
  <c r="N27" i="14"/>
  <c r="N28" i="14"/>
  <c r="N29" i="14"/>
  <c r="N32" i="14"/>
  <c r="N33" i="14"/>
  <c r="N34" i="14"/>
  <c r="N36" i="14"/>
  <c r="N37" i="14"/>
  <c r="N38" i="14"/>
  <c r="N39" i="14"/>
  <c r="N40" i="14"/>
  <c r="N41" i="14"/>
  <c r="N42" i="14"/>
  <c r="N43" i="14"/>
  <c r="N45" i="14"/>
  <c r="N46" i="14"/>
  <c r="N47" i="14"/>
  <c r="N48" i="14"/>
  <c r="N49" i="14"/>
  <c r="N50" i="14"/>
  <c r="N51" i="14"/>
  <c r="N52" i="14"/>
  <c r="N53" i="14"/>
  <c r="N54" i="14"/>
  <c r="N2" i="14"/>
  <c r="L36" i="14"/>
  <c r="M36" i="14" s="1"/>
  <c r="L8" i="14"/>
  <c r="M8" i="14" s="1"/>
  <c r="L53" i="14"/>
  <c r="M53" i="14" s="1"/>
  <c r="M3" i="14"/>
  <c r="M5" i="14"/>
  <c r="M6" i="14"/>
  <c r="M7" i="14"/>
  <c r="M9" i="14"/>
  <c r="M10" i="14"/>
  <c r="M11" i="14"/>
  <c r="M12" i="14"/>
  <c r="M13" i="14"/>
  <c r="M14" i="14"/>
  <c r="M15" i="14"/>
  <c r="M17" i="14"/>
  <c r="M18" i="14"/>
  <c r="M21" i="14"/>
  <c r="M24" i="14"/>
  <c r="M26" i="14"/>
  <c r="M27" i="14"/>
  <c r="M28" i="14"/>
  <c r="M29" i="14"/>
  <c r="M32" i="14"/>
  <c r="M33" i="14"/>
  <c r="M34" i="14"/>
  <c r="M37" i="14"/>
  <c r="M38" i="14"/>
  <c r="M39" i="14"/>
  <c r="M40" i="14"/>
  <c r="M41" i="14"/>
  <c r="M42" i="14"/>
  <c r="M43" i="14"/>
  <c r="M45" i="14"/>
  <c r="M46" i="14"/>
  <c r="M47" i="14"/>
  <c r="M48" i="14"/>
  <c r="M49" i="14"/>
  <c r="M50" i="14"/>
  <c r="M51" i="14"/>
  <c r="M52" i="14"/>
  <c r="M54" i="14"/>
  <c r="M2" i="14"/>
  <c r="K44" i="12" l="1"/>
  <c r="K13" i="12"/>
  <c r="K75" i="12" s="1"/>
  <c r="F13" i="12"/>
  <c r="H13" i="12" s="1"/>
  <c r="Q58" i="14"/>
  <c r="E57" i="14"/>
  <c r="P56" i="14"/>
  <c r="M68" i="14"/>
  <c r="E68" i="14"/>
  <c r="N68" i="14"/>
  <c r="I68" i="14"/>
  <c r="K67" i="14"/>
  <c r="M67" i="14"/>
  <c r="E67" i="14"/>
  <c r="K9" i="14"/>
  <c r="I9" i="14"/>
  <c r="E9" i="14"/>
  <c r="C43" i="14"/>
  <c r="K45" i="14"/>
  <c r="I45" i="14"/>
  <c r="E45" i="14"/>
  <c r="M8" i="6"/>
  <c r="M7" i="6"/>
  <c r="J53" i="14" l="1"/>
  <c r="M6" i="6"/>
  <c r="J39" i="14"/>
  <c r="K39" i="14" s="1"/>
  <c r="M2" i="6"/>
  <c r="K52" i="14"/>
  <c r="I52" i="14"/>
  <c r="E52" i="14"/>
  <c r="K3" i="14"/>
  <c r="K5" i="14"/>
  <c r="K6" i="14"/>
  <c r="K7" i="14"/>
  <c r="K8" i="14"/>
  <c r="K10" i="14"/>
  <c r="K11" i="14"/>
  <c r="K12" i="14"/>
  <c r="K13" i="14"/>
  <c r="K14" i="14"/>
  <c r="K15" i="14"/>
  <c r="K16" i="14"/>
  <c r="K17" i="14"/>
  <c r="K18" i="14"/>
  <c r="K21" i="14"/>
  <c r="K23" i="14"/>
  <c r="K24" i="14"/>
  <c r="K26" i="14"/>
  <c r="K27" i="14"/>
  <c r="K28" i="14"/>
  <c r="K29" i="14"/>
  <c r="K32" i="14"/>
  <c r="K33" i="14"/>
  <c r="K34" i="14"/>
  <c r="K35" i="14"/>
  <c r="K36" i="14"/>
  <c r="K37" i="14"/>
  <c r="K38" i="14"/>
  <c r="K40" i="14"/>
  <c r="K41" i="14"/>
  <c r="K42" i="14"/>
  <c r="K43" i="14"/>
  <c r="K44" i="14"/>
  <c r="K46" i="14"/>
  <c r="K47" i="14"/>
  <c r="K48" i="14"/>
  <c r="K49" i="14"/>
  <c r="K50" i="14"/>
  <c r="K51" i="14"/>
  <c r="K53" i="14"/>
  <c r="K54" i="14"/>
  <c r="K2" i="14"/>
  <c r="I21" i="14"/>
  <c r="I37" i="14"/>
  <c r="E37" i="14"/>
  <c r="K56" i="14" l="1"/>
  <c r="K55" i="14"/>
  <c r="E21" i="14"/>
  <c r="H73" i="12" l="1"/>
  <c r="F62" i="12"/>
  <c r="H47" i="12"/>
  <c r="D37" i="12"/>
  <c r="D33" i="12" s="1"/>
  <c r="F35" i="12"/>
  <c r="D49" i="12"/>
  <c r="D50" i="12" s="1"/>
  <c r="F64" i="12" l="1"/>
  <c r="H35" i="12"/>
  <c r="F33" i="12"/>
  <c r="K33" i="12"/>
  <c r="K36" i="12" s="1"/>
  <c r="H62" i="12"/>
  <c r="F18" i="6"/>
  <c r="E18" i="6"/>
  <c r="D18" i="6"/>
  <c r="C18" i="6"/>
  <c r="H18" i="6" s="1"/>
  <c r="D9" i="6"/>
  <c r="E3" i="6"/>
  <c r="H3" i="6" s="1"/>
  <c r="D3" i="6"/>
  <c r="C3" i="6"/>
  <c r="E15" i="6"/>
  <c r="D15" i="6"/>
  <c r="C15" i="6"/>
  <c r="H15" i="6" s="1"/>
  <c r="D12" i="6"/>
  <c r="F12" i="6"/>
  <c r="E12" i="6"/>
  <c r="E9" i="6"/>
  <c r="F9" i="6"/>
  <c r="I54" i="14"/>
  <c r="E54" i="14"/>
  <c r="I53" i="14"/>
  <c r="I51" i="14"/>
  <c r="E53" i="14"/>
  <c r="E51" i="14"/>
  <c r="I50" i="14"/>
  <c r="E50" i="14"/>
  <c r="I49" i="14"/>
  <c r="E49" i="14"/>
  <c r="I48" i="14"/>
  <c r="I47" i="14"/>
  <c r="I46" i="14"/>
  <c r="I44" i="14"/>
  <c r="E48" i="14"/>
  <c r="E46" i="14"/>
  <c r="E44" i="14"/>
  <c r="I43" i="14"/>
  <c r="I42" i="14"/>
  <c r="E42" i="14"/>
  <c r="I41" i="14"/>
  <c r="E41" i="14"/>
  <c r="I40" i="14"/>
  <c r="E40" i="14"/>
  <c r="I39" i="14"/>
  <c r="E39" i="14"/>
  <c r="I38" i="14"/>
  <c r="E38" i="14"/>
  <c r="I36" i="14"/>
  <c r="I35" i="14"/>
  <c r="E35" i="14"/>
  <c r="I34" i="14"/>
  <c r="E34" i="14"/>
  <c r="I33" i="14"/>
  <c r="E33" i="14"/>
  <c r="I32" i="14"/>
  <c r="E32" i="14"/>
  <c r="I31" i="14"/>
  <c r="E31" i="14"/>
  <c r="I29" i="14"/>
  <c r="I28" i="14"/>
  <c r="E28" i="14"/>
  <c r="I27" i="14"/>
  <c r="E27" i="14"/>
  <c r="I26" i="14"/>
  <c r="E26" i="14"/>
  <c r="I25" i="14"/>
  <c r="E25" i="14"/>
  <c r="I24" i="14"/>
  <c r="E24" i="14"/>
  <c r="I23" i="14"/>
  <c r="E23" i="14"/>
  <c r="C22" i="14"/>
  <c r="I22" i="14" s="1"/>
  <c r="E22" i="14"/>
  <c r="I20" i="14"/>
  <c r="E20" i="14"/>
  <c r="I19" i="14"/>
  <c r="E19" i="14"/>
  <c r="I2" i="14"/>
  <c r="I3" i="14"/>
  <c r="I4" i="14"/>
  <c r="I5" i="14"/>
  <c r="I6" i="14"/>
  <c r="I7" i="14"/>
  <c r="I8" i="14"/>
  <c r="I10" i="14"/>
  <c r="I11" i="14"/>
  <c r="I12" i="14"/>
  <c r="I13" i="14"/>
  <c r="I14" i="14"/>
  <c r="I15" i="14"/>
  <c r="I16" i="14"/>
  <c r="I17" i="14"/>
  <c r="I18" i="14"/>
  <c r="E18" i="14"/>
  <c r="E17" i="14"/>
  <c r="E16" i="14"/>
  <c r="E15" i="14"/>
  <c r="E14" i="14"/>
  <c r="E13" i="14"/>
  <c r="E12" i="14"/>
  <c r="E11" i="14"/>
  <c r="E10" i="14"/>
  <c r="E8" i="14"/>
  <c r="E7" i="14"/>
  <c r="E6" i="14"/>
  <c r="E5" i="14"/>
  <c r="E4" i="14"/>
  <c r="E3" i="14"/>
  <c r="E2" i="14"/>
  <c r="E43" i="14"/>
  <c r="E47" i="14"/>
  <c r="E29" i="14"/>
  <c r="E36" i="14"/>
  <c r="K37" i="12" l="1"/>
  <c r="H12" i="6"/>
  <c r="H9" i="6"/>
  <c r="E62" i="14"/>
  <c r="E61" i="14"/>
  <c r="E56" i="14"/>
  <c r="E55" i="14"/>
  <c r="F52" i="12"/>
  <c r="H46" i="12"/>
  <c r="H34" i="12"/>
  <c r="D84" i="12"/>
  <c r="D85" i="12" s="1"/>
  <c r="D86" i="12" s="1"/>
  <c r="H24" i="12"/>
  <c r="D23" i="12"/>
  <c r="D15" i="12"/>
  <c r="E41" i="12" s="1"/>
  <c r="F39" i="3"/>
  <c r="D39" i="3"/>
  <c r="F113" i="12" l="1"/>
  <c r="E113" i="12"/>
  <c r="D113" i="12"/>
  <c r="D63" i="12"/>
  <c r="D64" i="12" s="1"/>
  <c r="E65" i="12" s="1"/>
  <c r="E66" i="12" s="1"/>
  <c r="K57" i="14"/>
  <c r="K58" i="14" s="1"/>
  <c r="E58" i="14"/>
  <c r="H70" i="12"/>
  <c r="F84" i="12"/>
  <c r="F85" i="12" s="1"/>
  <c r="F86" i="12" s="1"/>
  <c r="H84" i="12"/>
  <c r="H85" i="12" s="1"/>
  <c r="E53" i="12"/>
  <c r="D25" i="12"/>
  <c r="D28" i="12" s="1"/>
  <c r="E38" i="12"/>
  <c r="D87" i="12"/>
  <c r="Z49" i="3" l="1"/>
  <c r="Z29" i="3" s="1"/>
  <c r="H23" i="12"/>
  <c r="H63" i="12" s="1"/>
  <c r="D88" i="12"/>
  <c r="D89" i="12" s="1"/>
  <c r="D90" i="12" s="1"/>
  <c r="D74" i="12" s="1"/>
  <c r="D75" i="12" s="1"/>
  <c r="H71" i="12"/>
  <c r="F87" i="12"/>
  <c r="H86" i="12"/>
  <c r="H87" i="12" s="1"/>
  <c r="F49" i="12"/>
  <c r="F50" i="12" s="1"/>
  <c r="D30" i="16" s="1"/>
  <c r="D72" i="12"/>
  <c r="F25" i="12"/>
  <c r="F28" i="12" s="1"/>
  <c r="E54" i="12"/>
  <c r="D97" i="12" s="1"/>
  <c r="K51" i="12" l="1"/>
  <c r="K52" i="12" s="1"/>
  <c r="Z48" i="3"/>
  <c r="Z28" i="3" s="1"/>
  <c r="F72" i="12"/>
  <c r="H72" i="12" s="1"/>
  <c r="K72" i="12"/>
  <c r="H64" i="12"/>
  <c r="D76" i="12"/>
  <c r="E77" i="12" s="1"/>
  <c r="H25" i="12"/>
  <c r="H7" i="12"/>
  <c r="F15" i="12"/>
  <c r="G41" i="12" s="1"/>
  <c r="F88" i="12"/>
  <c r="F89" i="12" s="1"/>
  <c r="F90" i="12" s="1"/>
  <c r="F74" i="12" s="1"/>
  <c r="G65" i="12" l="1"/>
  <c r="AA49" i="3" s="1"/>
  <c r="AA29" i="3" s="1"/>
  <c r="F75" i="12"/>
  <c r="F76" i="12" s="1"/>
  <c r="G77" i="12" s="1"/>
  <c r="G78" i="12" s="1"/>
  <c r="K76" i="12"/>
  <c r="E78" i="12"/>
  <c r="D99" i="12" s="1"/>
  <c r="Z50" i="3"/>
  <c r="H33" i="12"/>
  <c r="F36" i="12"/>
  <c r="I28" i="16" s="1"/>
  <c r="I33" i="16" s="1"/>
  <c r="H49" i="12"/>
  <c r="H50" i="12" s="1"/>
  <c r="H51" i="12" s="1"/>
  <c r="H52" i="12" s="1"/>
  <c r="H15" i="12"/>
  <c r="H28" i="12"/>
  <c r="H88" i="12"/>
  <c r="H89" i="12" s="1"/>
  <c r="H90" i="12" s="1"/>
  <c r="G53" i="12"/>
  <c r="G66" i="12" l="1"/>
  <c r="AA50" i="3"/>
  <c r="AA30" i="3" s="1"/>
  <c r="E99" i="12"/>
  <c r="E79" i="12"/>
  <c r="I65" i="12"/>
  <c r="I66" i="12" s="1"/>
  <c r="AB49" i="3" s="1"/>
  <c r="F37" i="12"/>
  <c r="G38" i="12" s="1"/>
  <c r="H75" i="12"/>
  <c r="H36" i="12"/>
  <c r="H37" i="12" s="1"/>
  <c r="I38" i="12" s="1"/>
  <c r="H40" i="12"/>
  <c r="I41" i="12" s="1"/>
  <c r="Z30" i="3"/>
  <c r="Z51" i="3"/>
  <c r="H74" i="12"/>
  <c r="I53" i="12"/>
  <c r="B42" i="3"/>
  <c r="AA41" i="3"/>
  <c r="Z41" i="3"/>
  <c r="W41" i="3"/>
  <c r="AA40" i="3"/>
  <c r="Z40" i="3"/>
  <c r="M40" i="3"/>
  <c r="Q40" i="3" s="1"/>
  <c r="C40" i="3"/>
  <c r="AA39" i="3"/>
  <c r="Z39" i="3"/>
  <c r="S39" i="3"/>
  <c r="U39" i="3" s="1"/>
  <c r="N41" i="3" s="1"/>
  <c r="B41" i="3" s="1"/>
  <c r="H41" i="3" s="1"/>
  <c r="L39" i="3"/>
  <c r="M39" i="3" s="1"/>
  <c r="G39" i="3"/>
  <c r="C39" i="3"/>
  <c r="E39" i="3" s="1"/>
  <c r="D18" i="16" l="1"/>
  <c r="D95" i="12"/>
  <c r="D96" i="12" s="1"/>
  <c r="E98" i="12"/>
  <c r="D98" i="12"/>
  <c r="D80" i="12"/>
  <c r="G54" i="12"/>
  <c r="E97" i="12" s="1"/>
  <c r="H76" i="12"/>
  <c r="I77" i="12" s="1"/>
  <c r="I78" i="12" s="1"/>
  <c r="AB50" i="3" s="1"/>
  <c r="AB30" i="3" s="1"/>
  <c r="AB29" i="3"/>
  <c r="I54" i="12"/>
  <c r="Z42" i="3"/>
  <c r="AA42" i="3"/>
  <c r="N40" i="3"/>
  <c r="N44" i="3" s="1"/>
  <c r="O42" i="3"/>
  <c r="Q39" i="3"/>
  <c r="R40" i="3" s="1"/>
  <c r="I39" i="3"/>
  <c r="O39" i="3" s="1"/>
  <c r="V39" i="3" s="1"/>
  <c r="W39" i="3" s="1"/>
  <c r="R41" i="3" s="1"/>
  <c r="H42" i="3"/>
  <c r="H40" i="3"/>
  <c r="D19" i="16" l="1"/>
  <c r="D100" i="12"/>
  <c r="D117" i="12" s="1"/>
  <c r="D118" i="12" s="1"/>
  <c r="D81" i="12"/>
  <c r="AA48" i="3"/>
  <c r="AA28" i="3" s="1"/>
  <c r="G79" i="12"/>
  <c r="E18" i="16" s="1"/>
  <c r="I79" i="12"/>
  <c r="H80" i="12" s="1"/>
  <c r="H81" i="12" s="1"/>
  <c r="H82" i="12" s="1"/>
  <c r="AB48" i="3"/>
  <c r="R42" i="3"/>
  <c r="R44" i="3" s="1"/>
  <c r="P39" i="3"/>
  <c r="D82" i="12" l="1"/>
  <c r="D102" i="12" s="1"/>
  <c r="D112" i="12" s="1"/>
  <c r="D114" i="12" s="1"/>
  <c r="D101" i="12"/>
  <c r="D109" i="12" s="1"/>
  <c r="D110" i="12" s="1"/>
  <c r="D20" i="16"/>
  <c r="E95" i="12"/>
  <c r="E96" i="12" s="1"/>
  <c r="E105" i="12"/>
  <c r="D21" i="16"/>
  <c r="F80" i="12"/>
  <c r="E19" i="16" s="1"/>
  <c r="AA51" i="3"/>
  <c r="AB28" i="3"/>
  <c r="AB31" i="3" s="1"/>
  <c r="AB51" i="3"/>
  <c r="Z5" i="3"/>
  <c r="Z4" i="3"/>
  <c r="F81" i="12" l="1"/>
  <c r="E20" i="16" s="1"/>
  <c r="E100" i="12"/>
  <c r="E117" i="12" s="1"/>
  <c r="E118" i="12" s="1"/>
  <c r="Z3" i="3"/>
  <c r="Z6" i="3" s="1"/>
  <c r="AA5" i="3"/>
  <c r="AA4" i="3"/>
  <c r="E101" i="12" l="1"/>
  <c r="E109" i="12" s="1"/>
  <c r="E110" i="12" s="1"/>
  <c r="F82" i="12"/>
  <c r="E21" i="16" s="1"/>
  <c r="AA3" i="3"/>
  <c r="AA6" i="3" s="1"/>
  <c r="E102" i="12" l="1"/>
  <c r="E112" i="12" s="1"/>
  <c r="E114" i="12" s="1"/>
  <c r="Z18" i="3"/>
  <c r="W14" i="3"/>
  <c r="Z11" i="3"/>
  <c r="AA11" i="3" l="1"/>
  <c r="AA18" i="3"/>
  <c r="Z10" i="3" l="1"/>
  <c r="Z17" i="3"/>
  <c r="M18" i="3"/>
  <c r="Q18" i="3" s="1"/>
  <c r="Z12" i="3" l="1"/>
  <c r="Z13" i="3" s="1"/>
  <c r="AA10" i="3"/>
  <c r="Z19" i="3"/>
  <c r="AA31" i="3"/>
  <c r="Z31" i="3"/>
  <c r="T17" i="3"/>
  <c r="AA12" i="3" l="1"/>
  <c r="AA13" i="3" s="1"/>
  <c r="AA19" i="3"/>
  <c r="E27" i="3"/>
  <c r="Q30" i="3" s="1"/>
  <c r="G27" i="3"/>
  <c r="O29" i="3" s="1"/>
  <c r="H30" i="3"/>
  <c r="AA17" i="3" l="1"/>
  <c r="F3" i="3"/>
  <c r="G3" i="3" s="1"/>
  <c r="D3" i="3"/>
  <c r="T10" i="3"/>
  <c r="F17" i="3"/>
  <c r="G17" i="3" s="1"/>
  <c r="I17" i="3" s="1"/>
  <c r="O17" i="3" s="1"/>
  <c r="V17" i="3" s="1"/>
  <c r="W17" i="3" s="1"/>
  <c r="D17" i="3"/>
  <c r="O20" i="3"/>
  <c r="C18" i="3"/>
  <c r="S17" i="3"/>
  <c r="U17" i="3" s="1"/>
  <c r="L17" i="3"/>
  <c r="M17" i="3" s="1"/>
  <c r="N18" i="3" s="1"/>
  <c r="C17" i="3"/>
  <c r="W12" i="3"/>
  <c r="C14" i="3"/>
  <c r="U12" i="3"/>
  <c r="M4" i="3"/>
  <c r="Q4" i="3" s="1"/>
  <c r="B6" i="3"/>
  <c r="W5" i="3"/>
  <c r="C4" i="3"/>
  <c r="S3" i="3"/>
  <c r="U3" i="3" s="1"/>
  <c r="N5" i="3" s="1"/>
  <c r="B5" i="3" s="1"/>
  <c r="H5" i="3" s="1"/>
  <c r="L3" i="3"/>
  <c r="M3" i="3" s="1"/>
  <c r="C3" i="3"/>
  <c r="M30" i="3"/>
  <c r="B13" i="3"/>
  <c r="F10" i="3"/>
  <c r="G10" i="3" s="1"/>
  <c r="D10" i="3"/>
  <c r="O13" i="3" l="1"/>
  <c r="H6" i="3"/>
  <c r="E17" i="3"/>
  <c r="P17" i="3" s="1"/>
  <c r="E3" i="3"/>
  <c r="O6" i="3" s="1"/>
  <c r="H4" i="3"/>
  <c r="R20" i="3"/>
  <c r="R19" i="3"/>
  <c r="H21" i="3"/>
  <c r="N19" i="3"/>
  <c r="Z20" i="3" s="1"/>
  <c r="N4" i="3"/>
  <c r="I3" i="3"/>
  <c r="O3" i="3" s="1"/>
  <c r="V3" i="3" s="1"/>
  <c r="Q17" i="3" l="1"/>
  <c r="R18" i="3" s="1"/>
  <c r="Q21" i="3"/>
  <c r="R21" i="3" s="1"/>
  <c r="R22" i="3" s="1"/>
  <c r="Q3" i="3"/>
  <c r="R4" i="3" s="1"/>
  <c r="W3" i="3"/>
  <c r="R5" i="3" s="1"/>
  <c r="AA20" i="3"/>
  <c r="M21" i="3"/>
  <c r="N21" i="3" s="1"/>
  <c r="I21" i="3"/>
  <c r="R6" i="3"/>
  <c r="P3" i="3"/>
  <c r="N8" i="3"/>
  <c r="R8" i="3" l="1"/>
  <c r="N22" i="3"/>
  <c r="S10" i="3" l="1"/>
  <c r="U10" i="3" s="1"/>
  <c r="C11" i="3"/>
  <c r="M11" i="3" s="1"/>
  <c r="Q11" i="3" s="1"/>
  <c r="K27" i="3"/>
  <c r="K25" i="3"/>
  <c r="K24" i="3"/>
  <c r="I10" i="3"/>
  <c r="O10" i="3" s="1"/>
  <c r="R13" i="3" s="1"/>
  <c r="H27" i="3"/>
  <c r="Q27" i="3"/>
  <c r="R30" i="3" s="1"/>
  <c r="N29" i="3"/>
  <c r="H29" i="3"/>
  <c r="I27" i="3"/>
  <c r="O27" i="3" s="1"/>
  <c r="R29" i="3" s="1"/>
  <c r="N12" i="3" l="1"/>
  <c r="H14" i="3"/>
  <c r="P27" i="3"/>
  <c r="H28" i="3"/>
  <c r="M28" i="3" s="1"/>
  <c r="Q28" i="3" s="1"/>
  <c r="R28" i="3" s="1"/>
  <c r="V10" i="3"/>
  <c r="W10" i="3" s="1"/>
  <c r="R12" i="3" l="1"/>
  <c r="M14" i="3"/>
  <c r="I14" i="3"/>
  <c r="R31" i="3"/>
  <c r="L27" i="3" l="1"/>
  <c r="M27" i="3" s="1"/>
  <c r="N30" i="3" l="1"/>
  <c r="N28" i="3"/>
  <c r="L24" i="3"/>
  <c r="M24" i="3" s="1"/>
  <c r="L25" i="3"/>
  <c r="L10" i="3"/>
  <c r="H25" i="3"/>
  <c r="N31" i="3" l="1"/>
  <c r="C10" i="3"/>
  <c r="E10" i="3" s="1"/>
  <c r="M25" i="3"/>
  <c r="M10" i="3"/>
  <c r="N14" i="3" s="1"/>
  <c r="N11" i="3" l="1"/>
  <c r="P10" i="3"/>
  <c r="Q14" i="3" s="1"/>
  <c r="N15" i="3" l="1"/>
  <c r="Q10" i="3"/>
  <c r="R11" i="3" l="1"/>
  <c r="R14" i="3"/>
  <c r="R15" i="3" l="1"/>
  <c r="K15" i="12" l="1"/>
  <c r="K49" i="12"/>
  <c r="K50" i="12" s="1"/>
  <c r="L38" i="12" l="1"/>
  <c r="M38" i="12" s="1"/>
  <c r="H28" i="16" s="1"/>
  <c r="L41" i="12"/>
  <c r="M41" i="12" s="1"/>
  <c r="H29" i="16" s="1"/>
  <c r="E11" i="17"/>
  <c r="L65" i="12"/>
  <c r="L66" i="12" s="1"/>
  <c r="M66" i="12" s="1"/>
  <c r="L53" i="12"/>
  <c r="M53" i="12" s="1"/>
  <c r="H30" i="16" s="1"/>
  <c r="L77" i="12"/>
  <c r="F98" i="12" l="1"/>
  <c r="M65" i="12"/>
  <c r="H31" i="16" s="1"/>
  <c r="AC49" i="3"/>
  <c r="AC29" i="3" s="1"/>
  <c r="M77" i="12"/>
  <c r="H32" i="16" s="1"/>
  <c r="L78" i="12"/>
  <c r="L54" i="12"/>
  <c r="H33" i="16" l="1"/>
  <c r="AC48" i="3"/>
  <c r="F97" i="12"/>
  <c r="M54" i="12"/>
  <c r="AC50" i="3"/>
  <c r="AC30" i="3" s="1"/>
  <c r="F99" i="12"/>
  <c r="L79" i="12"/>
  <c r="M78" i="12"/>
  <c r="K80" i="12" l="1"/>
  <c r="F95" i="12"/>
  <c r="M79" i="12"/>
  <c r="AC51" i="3"/>
  <c r="AC28" i="3"/>
  <c r="AC31" i="3" s="1"/>
  <c r="F96" i="12" l="1"/>
  <c r="K81" i="12"/>
  <c r="E106" i="12" s="1"/>
  <c r="F102" i="12" s="1"/>
  <c r="F112" i="12" s="1"/>
  <c r="F114" i="12" s="1"/>
  <c r="F100" i="12"/>
  <c r="F117" i="12" s="1"/>
  <c r="F118" i="12" s="1"/>
  <c r="F101" i="12" l="1"/>
  <c r="F109" i="12" s="1"/>
  <c r="F110" i="12" s="1"/>
  <c r="K8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tc={5C75C38C-98D2-4B04-9696-3E3A2F37FE72}</author>
  </authors>
  <commentList>
    <comment ref="C2" authorId="0" shapeId="0" xr:uid="{5C75C38C-98D2-4B04-9696-3E3A2F37FE72}">
      <text>
        <t>[Threaded comment]
Your version of Excel allows you to read this threaded comment; however, any edits to it will get removed if the file is opened in a newer version of Excel. Learn more: https://go.microsoft.com/fwlink/?linkid=870924
Comment:
    Step 1: Verify/Adjust any assumptions
A, B, C (with 1-2 lines per each)
Step 2: View how need is currently being met / could be met through assumptions and current policies
Step 3: Policy Adjustments to meet needs
Step 4: View how need is being met after adjustments and policy changes
2025 Values, not 2020.</t>
      </text>
    </comment>
  </commentList>
</comments>
</file>

<file path=xl/sharedStrings.xml><?xml version="1.0" encoding="utf-8"?>
<sst xmlns="http://schemas.openxmlformats.org/spreadsheetml/2006/main" count="598" uniqueCount="367">
  <si>
    <t>BUILDING FOR SUCCESS IN INDIANA: POLICIES THAT CAN ADDRESS CHARTER SCHOOL FACILITY NEEDS</t>
  </si>
  <si>
    <t>Overview</t>
  </si>
  <si>
    <t>This tool uses a new methodology, called the Charter School Facility Index, to assess the extent to which Indiana is meeting the full facility needs of its charter schools. It looks not just how a policy reads on paper, but also the impact on the ground in meeting actual need. An Index of 100% means a state is meeting 100% of the need. The Charter School Facility Index informs Indiana policymakers about how much of charter school facility needs their policies are currently meeting and, further, how much of future need will be met if policies remain the same.</t>
  </si>
  <si>
    <t>Through this Charter School Facility Index Tool, policymakers can examine the potential impact of new or revised policies and explore how they can use the full array of available policies to meet the overall need. The tool shows how policymakers in Indiana can mix and match the various policies, improving those that already exist in the state and adding some that other states are using, with the goal of meeting 100% of need.</t>
  </si>
  <si>
    <r>
      <rPr>
        <sz val="11"/>
        <color theme="1"/>
        <rFont val="Calibri"/>
        <family val="2"/>
        <scheme val="minor"/>
      </rPr>
      <t xml:space="preserve">For more details on the Charter School Facility Index and its benefits, see ExcelinEd, </t>
    </r>
    <r>
      <rPr>
        <i/>
        <u/>
        <sz val="11"/>
        <color theme="10"/>
        <rFont val="Calibri"/>
        <family val="2"/>
        <scheme val="minor"/>
      </rPr>
      <t>Building for Success: How States Can Address Charter School Facility Needs</t>
    </r>
    <r>
      <rPr>
        <sz val="11"/>
        <color rgb="FF000F5D"/>
        <rFont val="Calibri"/>
        <family val="2"/>
        <scheme val="minor"/>
      </rPr>
      <t xml:space="preserve"> (2019).</t>
    </r>
  </si>
  <si>
    <t>Sources and Assumptions</t>
  </si>
  <si>
    <t>Facility-related costs: They are calculated at 15% of charter school expenditures, based on a review of FY 2019 audits for charter schools posted by the Indiana State Board of Accounts. This includes comparing facility-related costs for charter schools that rent, own and are in district-provided facilities. It includes the cost of rent or ownership and other facility-related costs, like utilities.</t>
  </si>
  <si>
    <r>
      <t>Charter schools in district-provided facilities:</t>
    </r>
    <r>
      <rPr>
        <sz val="11"/>
        <color theme="1"/>
        <rFont val="Calibri"/>
        <family val="2"/>
        <scheme val="minor"/>
      </rPr>
      <t xml:space="preserve"> The current figures come from data provided by Marcie Brown-Carter, Indiana Charter School Network. Projections come from an interview with David Rosenberg, Center for Innovative Education Solutions. It is assumed that charter schools in district-provided facilities pay no rent but pay for other facility-related costs, like utilities. Additional charter schools are in space subsidized by an affiliated organization. However, these arrangements are not the result of state policy, and these third parties are still having to pay to meet the facility needs of the charter schools.</t>
    </r>
  </si>
  <si>
    <r>
      <t>Likely changes in state policy in 5 years:</t>
    </r>
    <r>
      <rPr>
        <sz val="11"/>
        <color theme="1"/>
        <rFont val="Calibri"/>
        <family val="2"/>
        <scheme val="minor"/>
      </rPr>
      <t xml:space="preserve"> This is based on interviews with Betsy Wiley, Institute for Quality Education and Dan Huge, Indiana Finance Authority.</t>
    </r>
  </si>
  <si>
    <r>
      <t xml:space="preserve">Additional teachers an average-sized charter school cannot hire: </t>
    </r>
    <r>
      <rPr>
        <sz val="11"/>
        <color theme="1"/>
        <rFont val="Calibri"/>
        <family val="2"/>
        <scheme val="minor"/>
      </rPr>
      <t xml:space="preserve">Uses average teacher salary in Indiana of $50,218, from Arika Herron, </t>
    </r>
    <r>
      <rPr>
        <i/>
        <sz val="11"/>
        <color theme="1"/>
        <rFont val="Calibri"/>
        <family val="2"/>
        <scheme val="minor"/>
      </rPr>
      <t>IndyStar</t>
    </r>
    <r>
      <rPr>
        <sz val="11"/>
        <color theme="1"/>
        <rFont val="Calibri"/>
        <family val="2"/>
        <scheme val="minor"/>
      </rPr>
      <t>, “Indiana Teacher Pay: Which School Districts Have Highest and Lowest Average Salaries,” (Feb. 13, 2019). The average size for a charter school is total statewide enrollment divided by number of charter schools.</t>
    </r>
  </si>
  <si>
    <t xml:space="preserve">Step 1: Verify or adjust any assumptions that are made below. </t>
  </si>
  <si>
    <r>
      <t xml:space="preserve">The original values are shown for each of the assumptions below. You may opt to keep these values the same or adjust them. </t>
    </r>
    <r>
      <rPr>
        <b/>
        <sz val="12"/>
        <color theme="1"/>
        <rFont val="Calibri"/>
        <family val="2"/>
        <scheme val="minor"/>
      </rPr>
      <t>Note: The "Updated Value" column must have a value inserted in order for the tool to properly function.</t>
    </r>
  </si>
  <si>
    <t>Assumption</t>
  </si>
  <si>
    <t>Description</t>
  </si>
  <si>
    <t>Current Assumption</t>
  </si>
  <si>
    <t>Updated Value</t>
  </si>
  <si>
    <t>Include adult charter high schools in measuring the need?</t>
  </si>
  <si>
    <t>Determine whether to include adult charter high schools in measuring total charter school facility needs in Indiana.</t>
  </si>
  <si>
    <t>Yes</t>
  </si>
  <si>
    <t>How much more can charter schools grow if their facility needs are more fully met?</t>
  </si>
  <si>
    <t>What is the cost of charter schools purchasing their own buildings?</t>
  </si>
  <si>
    <t>Based on data from Indiana, the cost per student of purchasing a facility is estimated at $16,000, or $6.4 million for a 400-student charter school, but this figure can be adjusted.</t>
  </si>
  <si>
    <t>How much local facility-related revenue will traditional districts get in 5 years?</t>
  </si>
  <si>
    <t>Currently, districts receive $935 million annually from the Capital Project Fund and Construction Referenda, but that amount may increase in 5 years, so the tool allows for a different amount. Charter schools do not receive any of these funds.</t>
  </si>
  <si>
    <t>Based on the assumptions above, the following shows brick-and-mortar charter school enrollment and the number of charter schools currently and projected in five years. It also show the current and projected Charter School Facility Index, overall facility gap, gap per student and the number of teachers that an average-sized charter school cannot hire because its facility needs are not fully met. Related charts are to the right.</t>
  </si>
  <si>
    <t>Result</t>
  </si>
  <si>
    <t xml:space="preserve"> Current
(FY 2020)</t>
  </si>
  <si>
    <t>Projected
(FY 2025)</t>
  </si>
  <si>
    <t>Charter school enrollment</t>
  </si>
  <si>
    <t>Number of charter schools</t>
  </si>
  <si>
    <t>Charter School Facility Index</t>
  </si>
  <si>
    <t>Total facility gap</t>
  </si>
  <si>
    <t>Facility gap per student</t>
  </si>
  <si>
    <t>Teachers that an average-sized charter school cannot hire because its facility are not needs fully met</t>
  </si>
  <si>
    <t>Step 2: Add or change policies to improve the Charter School Facility Index and meet more of Indiana's charter school facility needs in five years.</t>
  </si>
  <si>
    <r>
      <t xml:space="preserve">By changing and/or adding policies, Indiana policymakers can increase the Charter School Facility Index and meet more of the state's charter school facility needs in five years. The current policy values are shown below for each of the major facility policies used either by Indiana or other states. You can modify these policies and see the impact on the Index and extra cost to the state. Relevant charts are to the right and below. </t>
    </r>
    <r>
      <rPr>
        <b/>
        <sz val="12"/>
        <color theme="1"/>
        <rFont val="Calibri"/>
        <family val="2"/>
        <scheme val="minor"/>
      </rPr>
      <t>Note: The "Revised Policy" column must have a value inserted in order for the tool to properly function.</t>
    </r>
  </si>
  <si>
    <t>Policy Change</t>
  </si>
  <si>
    <t>Current Policy</t>
  </si>
  <si>
    <t>Revised Policy</t>
  </si>
  <si>
    <t>Impact on Index
(FY 2025)</t>
  </si>
  <si>
    <t>Extra Annual Cost to State</t>
  </si>
  <si>
    <t>Increase the per-student facility allowance provided to charter schools</t>
  </si>
  <si>
    <t>Indiana provides eligible charter schools with $750 per student for facilities, transportation and buses. The state can increase that amount to address more of the actual facility need.</t>
  </si>
  <si>
    <t>Provide annual grants to charter schools for their facility-related expenses</t>
  </si>
  <si>
    <t>Indiana can put money, e.g., $15 or $20 million, into its existing, but currently unfunded, facility grant program for which charter schools could apply each year.</t>
  </si>
  <si>
    <t>Provide charter schools with access to local tax revenues for facilities</t>
  </si>
  <si>
    <t>Increase charter school access to district-provided facilities at no or low cost</t>
  </si>
  <si>
    <t>Enable charter schools to access affordable financing to purchase their own facilities</t>
  </si>
  <si>
    <t>Indiana can join other states that back charter school bonds, through a guarantee or moral obligation, so that facility financing become more affordable. For example, if the state backs $450 million in facility financing, it will provide significant savings to charter schools at a low cost to the state.</t>
  </si>
  <si>
    <t>Total Impact</t>
  </si>
  <si>
    <t>Current (FY 2020)</t>
  </si>
  <si>
    <t>In 5 Years (FY 2025)</t>
  </si>
  <si>
    <t>New Schools</t>
  </si>
  <si>
    <t>Change</t>
  </si>
  <si>
    <t>Total Need In Indiana</t>
  </si>
  <si>
    <t>Number of students in charter schools statewide</t>
  </si>
  <si>
    <t xml:space="preserve"> Brick &amp; mortar (not adult high schools)</t>
  </si>
  <si>
    <t xml:space="preserve"> Brick &amp; mortar adult high schools</t>
  </si>
  <si>
    <t xml:space="preserve"> Include adult high schools?</t>
  </si>
  <si>
    <t>Total number students (brick &amp; mortar)</t>
  </si>
  <si>
    <t xml:space="preserve"> Projected annual growth in number of students</t>
  </si>
  <si>
    <t xml:space="preserve"> Additional potential growth with facility barriers removed</t>
  </si>
  <si>
    <t>Expenditures per student in charter public schools</t>
  </si>
  <si>
    <t xml:space="preserve"> Rental cost as percentage of expenditures</t>
  </si>
  <si>
    <t xml:space="preserve"> Other facility-related cost as percentage of expenditures</t>
  </si>
  <si>
    <t xml:space="preserve"> Facility cost per student</t>
  </si>
  <si>
    <t xml:space="preserve"> Annual increase in rent</t>
  </si>
  <si>
    <t>Total Charter School Facilities Need In Indiana</t>
  </si>
  <si>
    <t xml:space="preserve"> Number of charter schools (not adult high schools)</t>
  </si>
  <si>
    <t xml:space="preserve"> Number of adult high schools</t>
  </si>
  <si>
    <t xml:space="preserve"> Total number of charter schools</t>
  </si>
  <si>
    <t xml:space="preserve"> Annual growth in number of charter schools (current projection)</t>
  </si>
  <si>
    <t xml:space="preserve"> New charter schools needing facilities</t>
  </si>
  <si>
    <t>Number of students per charter school</t>
  </si>
  <si>
    <t>Cost per student of purchasing charter school facility</t>
  </si>
  <si>
    <t>Cost of purchasing charter school building</t>
  </si>
  <si>
    <t>Cost of purchasing a building for 400 students</t>
  </si>
  <si>
    <t xml:space="preserve"> Annual increase in per student facility purchase cost</t>
  </si>
  <si>
    <t>Total Financing Need</t>
  </si>
  <si>
    <t>Meeting the Need In Indiana</t>
  </si>
  <si>
    <t>Funding</t>
  </si>
  <si>
    <t>Per-student facilities allowance</t>
  </si>
  <si>
    <t xml:space="preserve"> Number of charter school students getting facility allowance (if all students get full amount)</t>
  </si>
  <si>
    <t xml:space="preserve"> Allowance per charter school student</t>
  </si>
  <si>
    <t xml:space="preserve"> Percentage going to facilities (vs. transportation and buses)</t>
  </si>
  <si>
    <t xml:space="preserve"> Total allowance for charter schools (brick &amp; mortar)</t>
  </si>
  <si>
    <t xml:space="preserve"> Total allowance used for facility-related costs</t>
  </si>
  <si>
    <t xml:space="preserve"> Percent of need met</t>
  </si>
  <si>
    <t>Per-school grants for charter school facilities</t>
  </si>
  <si>
    <t xml:space="preserve"> Grants provided</t>
  </si>
  <si>
    <t>Charter schools getting local taxes for facilities</t>
  </si>
  <si>
    <t>Local facility-related taxes for traditional public schools in Indiana</t>
  </si>
  <si>
    <t xml:space="preserve"> Capital Project Fund</t>
  </si>
  <si>
    <t xml:space="preserve"> Construction Referenda</t>
  </si>
  <si>
    <t>Total local facility-related taxes</t>
  </si>
  <si>
    <t xml:space="preserve"> Traditional public school enrollment (ADM)</t>
  </si>
  <si>
    <t xml:space="preserve"> Annual growth in enrollment</t>
  </si>
  <si>
    <t xml:space="preserve"> Charter school enrollment (ADM)</t>
  </si>
  <si>
    <t xml:space="preserve"> Charter schools as a percentage of total public school enrollment</t>
  </si>
  <si>
    <t xml:space="preserve"> Percentage of local taxes received by charter schools</t>
  </si>
  <si>
    <t xml:space="preserve"> Local facilities taxes provided to charter schools</t>
  </si>
  <si>
    <t>Funding Subtotal</t>
  </si>
  <si>
    <t>Facilities</t>
  </si>
  <si>
    <t>Charter schools get no- or low-cost access to district facilities</t>
  </si>
  <si>
    <t xml:space="preserve"> Number of charter schools getting access to facilities</t>
  </si>
  <si>
    <t xml:space="preserve"> Number of charter schools leaving because of growth (total over 5 years)</t>
  </si>
  <si>
    <t xml:space="preserve"> Number of additional charter schools accessing no- or low-cost facilities (annual)</t>
  </si>
  <si>
    <t xml:space="preserve"> Percentage of charter schools in district-provided facilities</t>
  </si>
  <si>
    <t xml:space="preserve"> Fee charged to charter schools (per school)</t>
  </si>
  <si>
    <t xml:space="preserve"> Other facility-related costs for charter schools</t>
  </si>
  <si>
    <t xml:space="preserve"> Amount of need address</t>
  </si>
  <si>
    <t>Facilities Subtotal</t>
  </si>
  <si>
    <t>Financing</t>
  </si>
  <si>
    <t>State guarantees and other supports to reduce cost of facility financing</t>
  </si>
  <si>
    <t xml:space="preserve"> Amount of financing accessed at lower interest rate &amp; fees</t>
  </si>
  <si>
    <t xml:space="preserve"> Number of charter schools financed</t>
  </si>
  <si>
    <t xml:space="preserve"> Number of students benefiting from more affordable financing</t>
  </si>
  <si>
    <t xml:space="preserve"> Interest rate and fees with state support</t>
  </si>
  <si>
    <t xml:space="preserve"> Financing per student with state support</t>
  </si>
  <si>
    <t xml:space="preserve"> Savings per student from more affordable financing</t>
  </si>
  <si>
    <t xml:space="preserve"> Total savings</t>
  </si>
  <si>
    <t>Financing Total</t>
  </si>
  <si>
    <t>Total Need Met In Indiana</t>
  </si>
  <si>
    <t>Facility Gap Funding Amount</t>
  </si>
  <si>
    <t>Per Student Facility Funding Gap</t>
  </si>
  <si>
    <t>Lost Teachers</t>
  </si>
  <si>
    <t>Interest Rate</t>
  </si>
  <si>
    <t>Current
Gap</t>
  </si>
  <si>
    <t>Current
Policy</t>
  </si>
  <si>
    <t>Revised
Policy</t>
  </si>
  <si>
    <t>Total Need Met</t>
  </si>
  <si>
    <t>Total Need Unmet</t>
  </si>
  <si>
    <t>Number of Additional Teachers Hired</t>
  </si>
  <si>
    <t>Cost per teacher</t>
  </si>
  <si>
    <t>Gap Per Student</t>
  </si>
  <si>
    <t>Operating</t>
  </si>
  <si>
    <t>Facility</t>
  </si>
  <si>
    <t>Total Gap</t>
  </si>
  <si>
    <t xml:space="preserve"> Facility</t>
  </si>
  <si>
    <t xml:space="preserve"> Operating</t>
  </si>
  <si>
    <t xml:space="preserve"> Total</t>
  </si>
  <si>
    <t>2015-16</t>
  </si>
  <si>
    <t>2016-17</t>
  </si>
  <si>
    <t>2017-18</t>
  </si>
  <si>
    <t>2018-19</t>
  </si>
  <si>
    <t>2019-20</t>
  </si>
  <si>
    <t>2020-21</t>
  </si>
  <si>
    <t>Ownership</t>
  </si>
  <si>
    <t>Students</t>
  </si>
  <si>
    <t>Cost</t>
  </si>
  <si>
    <t>Per Student</t>
  </si>
  <si>
    <t># Students</t>
  </si>
  <si>
    <t>Montessori Academy at Geist</t>
  </si>
  <si>
    <t>% Change</t>
  </si>
  <si>
    <t>Rent</t>
  </si>
  <si>
    <t>Irvington Community Schools</t>
  </si>
  <si>
    <t>Andrew J. Brown</t>
  </si>
  <si>
    <t># Schools</t>
  </si>
  <si>
    <t>Asprire</t>
  </si>
  <si>
    <t>ADM</t>
  </si>
  <si>
    <t xml:space="preserve">Charter School  </t>
  </si>
  <si>
    <t>Location</t>
  </si>
  <si>
    <t>Total</t>
  </si>
  <si>
    <t>Percent</t>
  </si>
  <si>
    <t>Rent?</t>
  </si>
  <si>
    <t>Term in Audit/Notes</t>
  </si>
  <si>
    <t>Interest</t>
  </si>
  <si>
    <t>% w Int.</t>
  </si>
  <si>
    <t>Principal</t>
  </si>
  <si>
    <t>% w Princ</t>
  </si>
  <si>
    <t>Per ADM</t>
  </si>
  <si>
    <t>Total w Princi</t>
  </si>
  <si>
    <t>Fac. W. Principal</t>
  </si>
  <si>
    <t>Ace Preparatory</t>
  </si>
  <si>
    <t>Marion</t>
  </si>
  <si>
    <t>Occupancy</t>
  </si>
  <si>
    <t>Allegiant Preparatory</t>
  </si>
  <si>
    <t>Alternatives in Education</t>
  </si>
  <si>
    <t>Closed</t>
  </si>
  <si>
    <t>Facilities--in kind contribution for rent--juvenile justice--closed</t>
  </si>
  <si>
    <t>Anderson Preparatory Academy</t>
  </si>
  <si>
    <t>Madison</t>
  </si>
  <si>
    <t>Occupancy--mortgage</t>
  </si>
  <si>
    <t>Aspire Charter Academy</t>
  </si>
  <si>
    <t>Lake</t>
  </si>
  <si>
    <t>Avondale Meadows Academy</t>
  </si>
  <si>
    <t>Occupancy--bonds--principal payments unclear</t>
  </si>
  <si>
    <t>Bloomington Project School</t>
  </si>
  <si>
    <t>Monroe</t>
  </si>
  <si>
    <t>Mixed</t>
  </si>
  <si>
    <t>Occupancy--lease plus notes</t>
  </si>
  <si>
    <t>Canaan Community Academy</t>
  </si>
  <si>
    <t>Jefferson</t>
  </si>
  <si>
    <t>Free</t>
  </si>
  <si>
    <t>Occupancy--lease for $1--resp. for utilities &amp; maintenance</t>
  </si>
  <si>
    <t>Charter School of the Dunes</t>
  </si>
  <si>
    <t>Occupancy--own building</t>
  </si>
  <si>
    <t>City Circle Preparatory</t>
  </si>
  <si>
    <t>Community Montessori</t>
  </si>
  <si>
    <t>Floyd</t>
  </si>
  <si>
    <t>Damar</t>
  </si>
  <si>
    <t>Discovery Charter School</t>
  </si>
  <si>
    <t>Porter</t>
  </si>
  <si>
    <t>Occupancy--big interest payment--IFA bond financing</t>
  </si>
  <si>
    <t>Dr. Robert H. Faulkner</t>
  </si>
  <si>
    <t>Gramt</t>
  </si>
  <si>
    <t>Occupancy--school closed</t>
  </si>
  <si>
    <t>Dugger Union Community School</t>
  </si>
  <si>
    <t>Sullivan</t>
  </si>
  <si>
    <t>East Chicago Urban Enterprise Academy</t>
  </si>
  <si>
    <t>Occupancy--note</t>
  </si>
  <si>
    <t>Gary Middle College</t>
  </si>
  <si>
    <t>Adult</t>
  </si>
  <si>
    <t>Buildings &amp; Grounds--lease is mentioned</t>
  </si>
  <si>
    <t>Gary Middle College West</t>
  </si>
  <si>
    <t>Global Preparatory Academy</t>
  </si>
  <si>
    <t>Occupancy is in-kind</t>
  </si>
  <si>
    <t>Goodwill Leads Excel Academy</t>
  </si>
  <si>
    <t>Rent + property taxes--multiple schools; some owned; 3rd party</t>
  </si>
  <si>
    <t>Indianapolis Classical Schools (Herron)</t>
  </si>
  <si>
    <t>Rent &amp; facilities--2 schools? Various bonds</t>
  </si>
  <si>
    <t>Higher Institute of Arts &amp; Technology</t>
  </si>
  <si>
    <t>Hoosier Academy</t>
  </si>
  <si>
    <t>Virtual</t>
  </si>
  <si>
    <t>Occupancy--2 schools--now virtual</t>
  </si>
  <si>
    <t>Hope Academy</t>
  </si>
  <si>
    <t>Rent--tiny</t>
  </si>
  <si>
    <t>Indiana Agriculture &amp; Technology School</t>
  </si>
  <si>
    <t>Hamilton</t>
  </si>
  <si>
    <t>Indiana Math and Science Academy - West</t>
  </si>
  <si>
    <t>Occupancy--advancement note</t>
  </si>
  <si>
    <t>Indiana Math and Science Academy - North</t>
  </si>
  <si>
    <t>Indiana Virtual School</t>
  </si>
  <si>
    <t>Indiana Academy of Excellence</t>
  </si>
  <si>
    <t>Indianapolis Metropolitan High School</t>
  </si>
  <si>
    <t>Rent including in kind--Goodwill bond</t>
  </si>
  <si>
    <t>Inspire Academy</t>
  </si>
  <si>
    <t>Delaware</t>
  </si>
  <si>
    <t>Occupancy--$1 lease with in kind contribution; but prior bond</t>
  </si>
  <si>
    <t>Joshua Academy</t>
  </si>
  <si>
    <t>Vanderburgh</t>
  </si>
  <si>
    <t>Problem</t>
  </si>
  <si>
    <t>No facility expense?</t>
  </si>
  <si>
    <t>KIPP Indianapolis</t>
  </si>
  <si>
    <t>Facilities--in kind contribution for rental</t>
  </si>
  <si>
    <t>Matchbook Learning Schools of Indiana</t>
  </si>
  <si>
    <t>Getting existing building</t>
  </si>
  <si>
    <t>Mays Community Academy</t>
  </si>
  <si>
    <t>Rush</t>
  </si>
  <si>
    <t>Occupancy--why so low? Short-term financing</t>
  </si>
  <si>
    <t>Occupancy--built $7 million--moved late 2019</t>
  </si>
  <si>
    <t>Options - Carmel</t>
  </si>
  <si>
    <t>Options - Nobelsville</t>
  </si>
  <si>
    <t xml:space="preserve">Occupancy--at Hope Source's Facility </t>
  </si>
  <si>
    <t>Otwell Miller Academy</t>
  </si>
  <si>
    <t>Pike</t>
  </si>
  <si>
    <t>Occupancy--rent from Friends a related party</t>
  </si>
  <si>
    <t>pilotED Schools</t>
  </si>
  <si>
    <t>Occupancy--capital lease</t>
  </si>
  <si>
    <t>Purdue Polytechnic High School</t>
  </si>
  <si>
    <t>Occupancy--min. lease in mall</t>
  </si>
  <si>
    <t>Renaissance Academy</t>
  </si>
  <si>
    <t>LaPorte</t>
  </si>
  <si>
    <t>Occupany--lease &amp; mortgage</t>
  </si>
  <si>
    <t>Rock Creek Community Academy</t>
  </si>
  <si>
    <t>Clark</t>
  </si>
  <si>
    <t>Occupancy--building facility with IFA bonds w increasing payments</t>
  </si>
  <si>
    <t>Rural Community Schools</t>
  </si>
  <si>
    <t>Occupancy--lease @ $1,000 per month</t>
  </si>
  <si>
    <t>Southeast Neighborhood School of Excellence</t>
  </si>
  <si>
    <t>Seven Oaks Classical School</t>
  </si>
  <si>
    <t>Occupancy--IFF backed bond</t>
  </si>
  <si>
    <t>Signature School</t>
  </si>
  <si>
    <t>Rent of building &amp; equipment--only $150,000 lease?</t>
  </si>
  <si>
    <t>Smith Academy for Excellence</t>
  </si>
  <si>
    <t>Allen</t>
  </si>
  <si>
    <t>Thea Bowman Leadership Academcy</t>
  </si>
  <si>
    <t>Occupancy--bond</t>
  </si>
  <si>
    <t>Tinley Accelerated Schools</t>
  </si>
  <si>
    <t>Complex</t>
  </si>
  <si>
    <t>Occupancy &amp; maintenance--multiple campuses; own &amp; lease back</t>
  </si>
  <si>
    <t>Urban Act Academy</t>
  </si>
  <si>
    <t>In kind occupancy</t>
  </si>
  <si>
    <t>Overall Average</t>
  </si>
  <si>
    <t>Average for charter schools that rent</t>
  </si>
  <si>
    <t>Average for charter schools that do not rent</t>
  </si>
  <si>
    <t>Difference</t>
  </si>
  <si>
    <t>Average for rent in Marion</t>
  </si>
  <si>
    <t>Average for rent not in Marion</t>
  </si>
  <si>
    <t>Hammond Urban Academy</t>
  </si>
  <si>
    <t>Occupany</t>
  </si>
  <si>
    <t>Steel City Academy</t>
  </si>
  <si>
    <t>Occupany--why so low?</t>
  </si>
  <si>
    <t>Timothy L. Johnson</t>
  </si>
  <si>
    <t>Lighthouse Academies of Indiana</t>
  </si>
  <si>
    <t>Indiana Schools of Excellence</t>
  </si>
  <si>
    <t>Saint Joseph</t>
  </si>
  <si>
    <t>The Phalen Leadership Academy</t>
  </si>
  <si>
    <t>Rent and facilities--why so low?</t>
  </si>
  <si>
    <t>Ignite Achievement Academy</t>
  </si>
  <si>
    <t>Occupancy--in-kind</t>
  </si>
  <si>
    <t>Thurgood Marshall Leadership Academy</t>
  </si>
  <si>
    <t>Occupany--$91,000 lease</t>
  </si>
  <si>
    <t>Paramount School of Excellence</t>
  </si>
  <si>
    <t>Neighborhood Charter Network</t>
  </si>
  <si>
    <t>Occupany--in kind</t>
  </si>
  <si>
    <t>California</t>
  </si>
  <si>
    <t>State</t>
  </si>
  <si>
    <t>Current Schools</t>
  </si>
  <si>
    <t>Per School</t>
  </si>
  <si>
    <t>Exp. %</t>
  </si>
  <si>
    <t>Expan.</t>
  </si>
  <si>
    <t>Growth %</t>
  </si>
  <si>
    <t>Current Students</t>
  </si>
  <si>
    <t># Schools (5 Yrs.)</t>
  </si>
  <si>
    <t>Per Pupil $</t>
  </si>
  <si>
    <t>% Facilities</t>
  </si>
  <si>
    <t>Fac. Per Pupil</t>
  </si>
  <si>
    <t>Total Current Need</t>
  </si>
  <si>
    <t>% Current</t>
  </si>
  <si>
    <t>Future # Schools</t>
  </si>
  <si>
    <t>Future # Students</t>
  </si>
  <si>
    <t>Future Amount</t>
  </si>
  <si>
    <t>% Future</t>
  </si>
  <si>
    <t># Current Schools</t>
  </si>
  <si>
    <t>Financing Per School</t>
  </si>
  <si>
    <t>Total Existing Need</t>
  </si>
  <si>
    <t># Future Schools</t>
  </si>
  <si>
    <t>Total Future Financing</t>
  </si>
  <si>
    <t>Existing Need</t>
  </si>
  <si>
    <t>In 5 Years</t>
  </si>
  <si>
    <t xml:space="preserve"> Allotment</t>
  </si>
  <si>
    <r>
      <t xml:space="preserve"> </t>
    </r>
    <r>
      <rPr>
        <sz val="11"/>
        <color theme="1"/>
        <rFont val="Calibri"/>
        <family val="2"/>
        <scheme val="minor"/>
      </rPr>
      <t>Grants</t>
    </r>
  </si>
  <si>
    <t xml:space="preserve"> Facilities</t>
  </si>
  <si>
    <t xml:space="preserve"> Financing</t>
  </si>
  <si>
    <t>Colorado</t>
  </si>
  <si>
    <t>Florida</t>
  </si>
  <si>
    <t>Example</t>
  </si>
  <si>
    <t>Projected</t>
  </si>
  <si>
    <t>Per Pupil Amount</t>
  </si>
  <si>
    <t>BEST grants</t>
  </si>
  <si>
    <t>Indiana</t>
  </si>
  <si>
    <r>
      <t xml:space="preserve">The original values are shown for each of the policy buckets identified. You may opt to keep these values the same or adjust them. </t>
    </r>
    <r>
      <rPr>
        <b/>
        <sz val="10"/>
        <color theme="1"/>
        <rFont val="Calibri"/>
        <family val="2"/>
        <scheme val="minor"/>
      </rPr>
      <t>Note: The "Updated Value" column must have a value inserted in order for the tool to properly function.</t>
    </r>
  </si>
  <si>
    <t>Assumptions</t>
  </si>
  <si>
    <t>Original Value</t>
  </si>
  <si>
    <t>Impact</t>
  </si>
  <si>
    <t>Include adult high schools?</t>
  </si>
  <si>
    <t>Matthew fills in</t>
  </si>
  <si>
    <t>Additional potential growth with facility barriers removed</t>
  </si>
  <si>
    <t>Allowance per charter school student</t>
  </si>
  <si>
    <t>Grants Provided</t>
  </si>
  <si>
    <t>Charter schools as a percentage of total public school enrollment</t>
  </si>
  <si>
    <t>Percentage of levies received by charter schools</t>
  </si>
  <si>
    <t>Number of charter schools leaving because of growth</t>
  </si>
  <si>
    <t>Number of additional charter schools accessing (annual)</t>
  </si>
  <si>
    <t>Amount of financing accessed at lower interest rate &amp; fees</t>
  </si>
  <si>
    <t xml:space="preserve">Cost per teacher - </t>
  </si>
  <si>
    <t>How many teachers could this have meant?</t>
  </si>
  <si>
    <r>
      <rPr>
        <b/>
        <sz val="11"/>
        <color theme="1"/>
        <rFont val="Calibri"/>
        <family val="2"/>
        <scheme val="minor"/>
      </rPr>
      <t>Charter school enrollment and number of charter schools:</t>
    </r>
    <r>
      <rPr>
        <sz val="11"/>
        <color theme="1"/>
        <rFont val="Calibri"/>
        <family val="2"/>
        <scheme val="minor"/>
      </rPr>
      <t xml:space="preserve"> Historical data provided by Marcie Brown-Carter, Indiana Charter School Network: 7% annual enrollment growth, and 5.1% annual growth in the number of charter schools. These figures include all brick-and-mortar charter schools; however, tool users can decide whether to include students in adult charter school high schools. There are additional students in virtual charter schools, who are not included because they do not have traditional facility needs. The Legislative Service Agency projects that these trends will continue. The potential of 25-50% in additional growth if facility needs are more fully met is based on an interview with Sam Duell, ExcelinEd’s policy director for charter schools. The tool assumes a 25% growth boost, but users can change that assumption.</t>
    </r>
  </si>
  <si>
    <r>
      <rPr>
        <b/>
        <sz val="11"/>
        <color theme="1"/>
        <rFont val="Calibri"/>
        <family val="2"/>
        <scheme val="minor"/>
      </rPr>
      <t xml:space="preserve">Per-student facility allotment: </t>
    </r>
    <r>
      <rPr>
        <sz val="11"/>
        <color theme="1"/>
        <rFont val="Calibri"/>
        <family val="2"/>
        <scheme val="minor"/>
      </rPr>
      <t>It is assumed that 90% of the allotment pays for facility-related expenditures, with the remainder going for transportation and buses, based on an interview with Marcie Brown-Carter, Indiana Charter School Network.</t>
    </r>
  </si>
  <si>
    <r>
      <rPr>
        <b/>
        <sz val="11"/>
        <color theme="1"/>
        <rFont val="Calibri"/>
        <family val="2"/>
        <scheme val="minor"/>
      </rPr>
      <t>Facility-related local revenues:</t>
    </r>
    <r>
      <rPr>
        <sz val="11"/>
        <color theme="1"/>
        <rFont val="Calibri"/>
        <family val="2"/>
        <scheme val="minor"/>
      </rPr>
      <t xml:space="preserve"> The current total includes funding through the Capital Project Fund and construction referenda. Data comes from the Legislative Service Agency and the Center for Evaluation, Policy and Research’s Database of Indiana School Referenda. The tool assumes this amount will stay the same in the 5 years but allows users to change that assumption. The number of public school students in Indiana is based on published data and assumes 1% in annual growth.</t>
    </r>
  </si>
  <si>
    <r>
      <rPr>
        <b/>
        <sz val="11"/>
        <color theme="1"/>
        <rFont val="Calibri"/>
        <family val="2"/>
        <scheme val="minor"/>
      </rPr>
      <t xml:space="preserve">Savings from state-backed facility financing: </t>
    </r>
    <r>
      <rPr>
        <sz val="11"/>
        <color theme="1"/>
        <rFont val="Calibri"/>
        <family val="2"/>
        <scheme val="minor"/>
      </rPr>
      <t>Assumes the interest rate with state backing is 4%. The cost of purchasing a building is $16,000 per student, based on an interview with Brandon Brown, The Mind Trust. This assumption can be changed in the tool. With appropriate selection criteria, the state can keep bond defaults at below 2%, based on ExcelinEd’s review of historical data nationwide.</t>
    </r>
  </si>
  <si>
    <t>Charter school enrollment is increasing by 7% per year. However, growth could be more if Indiana meets more of the charter school facility needs, i.e., between 25 and 50% more. The tool assumes growth would be 25% higher, which means 8.75% growth each year, but this growth bump can be adjusted higher.</t>
  </si>
  <si>
    <t>Indiana can change its policy so that a higher percentage of charter schools are in district-provided facilities. This greatly reduces rent, which is a substantial portion of facility-related costs. In Colorado, for example, about 26% of charter schools are in district-provided facilities; in California, it is 44%.</t>
  </si>
  <si>
    <t xml:space="preserve">The Charter School Facility Index Tool allows Indiana policymakers to determine the likely impacts of any proposed changes in state policies on the extent to which the state is meeting the facility needs of charter schools. </t>
  </si>
  <si>
    <r>
      <rPr>
        <sz val="11"/>
        <rFont val="Calibri"/>
        <family val="2"/>
        <scheme val="minor"/>
      </rPr>
      <t xml:space="preserve">For more information about sources and assumptions, see ExcelinEd, </t>
    </r>
    <r>
      <rPr>
        <i/>
        <u/>
        <sz val="11"/>
        <color theme="10"/>
        <rFont val="Calibri"/>
        <family val="2"/>
        <scheme val="minor"/>
      </rPr>
      <t>Building for Success in Indiana</t>
    </r>
    <r>
      <rPr>
        <sz val="11"/>
        <rFont val="Calibri"/>
        <family val="2"/>
        <scheme val="minor"/>
      </rPr>
      <t xml:space="preserve"> (2020).</t>
    </r>
  </si>
  <si>
    <r>
      <rPr>
        <sz val="12"/>
        <rFont val="Calibri"/>
        <family val="2"/>
        <scheme val="minor"/>
      </rPr>
      <t xml:space="preserve">More details about the Charter School Facility Index, and the various sources of information and assumptions, can be found in the overview tab and a </t>
    </r>
    <r>
      <rPr>
        <u/>
        <sz val="12"/>
        <color theme="10"/>
        <rFont val="Calibri"/>
        <family val="2"/>
        <scheme val="minor"/>
      </rPr>
      <t>companion brief.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</si>
</sst>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quot;$&quot;#,##0"/>
    <numFmt numFmtId="165" formatCode="0.0%"/>
    <numFmt numFmtId="166" formatCode="#,##0.0000"/>
    <numFmt numFmtId="167" formatCode="#,##0.000"/>
    <numFmt numFmtId="168" formatCode="&quot;$&quot;#,##0.00"/>
  </numFmts>
  <fonts count="27" x14ac:knownFonts="1">
    <font>
      <sz val="11"/>
      <color theme="1"/>
      <name val="Calibri"/>
      <family val="2"/>
      <scheme val="minor"/>
    </font>
    <font>
      <sz val="12"/>
      <color theme="1"/>
      <name val="Calibri"/>
      <family val="2"/>
      <scheme val="minor"/>
    </font>
    <font>
      <b/>
      <sz val="11"/>
      <color theme="1"/>
      <name val="Calibri"/>
      <family val="2"/>
      <scheme val="minor"/>
    </font>
    <font>
      <sz val="11"/>
      <color rgb="FF000000"/>
      <name val="Calibri"/>
      <family val="2"/>
      <scheme val="minor"/>
    </font>
    <font>
      <i/>
      <sz val="11"/>
      <color rgb="FF000000"/>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u/>
      <sz val="16"/>
      <color theme="1"/>
      <name val="Calibri"/>
      <family val="2"/>
      <scheme val="minor"/>
    </font>
    <font>
      <b/>
      <sz val="14"/>
      <color theme="1"/>
      <name val="Calibri"/>
      <family val="2"/>
      <scheme val="minor"/>
    </font>
    <font>
      <sz val="14"/>
      <color theme="1"/>
      <name val="Calibri"/>
      <family val="2"/>
      <scheme val="minor"/>
    </font>
    <font>
      <b/>
      <sz val="12"/>
      <color theme="0" tint="-4.9989318521683403E-2"/>
      <name val="Calibri"/>
      <family val="2"/>
      <scheme val="minor"/>
    </font>
    <font>
      <sz val="11"/>
      <color theme="0" tint="-4.9989318521683403E-2"/>
      <name val="Calibri"/>
      <family val="2"/>
      <scheme val="minor"/>
    </font>
    <font>
      <u/>
      <sz val="11"/>
      <color theme="10"/>
      <name val="Calibri"/>
      <family val="2"/>
      <scheme val="minor"/>
    </font>
    <font>
      <b/>
      <sz val="11"/>
      <color theme="0" tint="-4.9989318521683403E-2"/>
      <name val="Calibri"/>
      <family val="2"/>
      <scheme val="minor"/>
    </font>
    <font>
      <sz val="11"/>
      <color rgb="FF000F5D"/>
      <name val="Calibri"/>
      <family val="2"/>
      <scheme val="minor"/>
    </font>
    <font>
      <i/>
      <u/>
      <sz val="11"/>
      <color theme="10"/>
      <name val="Calibri"/>
      <family val="2"/>
      <scheme val="minor"/>
    </font>
    <font>
      <b/>
      <sz val="28"/>
      <color theme="1"/>
      <name val="Calibri"/>
      <family val="2"/>
      <scheme val="minor"/>
    </font>
    <font>
      <u/>
      <sz val="12"/>
      <color theme="10"/>
      <name val="Calibri"/>
      <family val="2"/>
      <scheme val="minor"/>
    </font>
    <font>
      <sz val="12"/>
      <name val="Calibri"/>
      <family val="2"/>
      <scheme val="minor"/>
    </font>
    <font>
      <sz val="1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000F5D"/>
        <bgColor indexed="64"/>
      </patternFill>
    </fill>
    <fill>
      <patternFill patternType="solid">
        <fgColor rgb="FFD59F0F"/>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4" fontId="7" fillId="0" borderId="0" applyFont="0" applyFill="0" applyBorder="0" applyAlignment="0" applyProtection="0"/>
    <xf numFmtId="9" fontId="7"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3" fontId="0" fillId="0" borderId="0" xfId="0" applyNumberFormat="1"/>
    <xf numFmtId="164" fontId="0" fillId="0" borderId="0" xfId="0" applyNumberFormat="1"/>
    <xf numFmtId="0" fontId="2" fillId="0" borderId="0" xfId="0" applyFont="1"/>
    <xf numFmtId="9" fontId="0" fillId="0" borderId="0" xfId="0" applyNumberFormat="1"/>
    <xf numFmtId="165" fontId="0" fillId="0" borderId="0" xfId="0" applyNumberFormat="1"/>
    <xf numFmtId="0" fontId="2" fillId="0" borderId="0" xfId="0" applyFont="1" applyAlignment="1">
      <alignment wrapText="1"/>
    </xf>
    <xf numFmtId="0" fontId="2" fillId="0" borderId="0" xfId="0" applyFont="1" applyAlignment="1">
      <alignment horizontal="left" wrapText="1"/>
    </xf>
    <xf numFmtId="3" fontId="0" fillId="0" borderId="0" xfId="0" applyNumberFormat="1" applyAlignment="1">
      <alignment vertical="top"/>
    </xf>
    <xf numFmtId="0" fontId="2" fillId="0" borderId="1" xfId="0" applyFont="1" applyBorder="1"/>
    <xf numFmtId="0" fontId="2" fillId="0" borderId="1" xfId="0" applyFont="1" applyBorder="1" applyAlignment="1">
      <alignment wrapText="1"/>
    </xf>
    <xf numFmtId="0" fontId="0" fillId="0" borderId="1" xfId="0" applyBorder="1"/>
    <xf numFmtId="165" fontId="0" fillId="0" borderId="1" xfId="0" applyNumberFormat="1" applyBorder="1"/>
    <xf numFmtId="1" fontId="0" fillId="0" borderId="0" xfId="0" applyNumberFormat="1"/>
    <xf numFmtId="166" fontId="0" fillId="0" borderId="0" xfId="0" applyNumberFormat="1"/>
    <xf numFmtId="167" fontId="0" fillId="0" borderId="0" xfId="0" applyNumberFormat="1"/>
    <xf numFmtId="4" fontId="0" fillId="0" borderId="0" xfId="0" applyNumberFormat="1"/>
    <xf numFmtId="168" fontId="0" fillId="0" borderId="0" xfId="0" applyNumberFormat="1"/>
    <xf numFmtId="2" fontId="0" fillId="0" borderId="0" xfId="0" applyNumberFormat="1"/>
    <xf numFmtId="4" fontId="0" fillId="0" borderId="0" xfId="0" applyNumberFormat="1" applyAlignment="1">
      <alignment vertical="top"/>
    </xf>
    <xf numFmtId="3" fontId="0" fillId="0" borderId="1" xfId="0" applyNumberFormat="1" applyBorder="1"/>
    <xf numFmtId="164" fontId="0" fillId="0" borderId="1" xfId="0" applyNumberFormat="1" applyBorder="1"/>
    <xf numFmtId="1" fontId="0" fillId="0" borderId="1" xfId="0" applyNumberFormat="1" applyBorder="1"/>
    <xf numFmtId="164" fontId="0" fillId="0" borderId="1" xfId="0" applyNumberFormat="1" applyFill="1" applyBorder="1"/>
    <xf numFmtId="0" fontId="2" fillId="2" borderId="1" xfId="0" applyFont="1" applyFill="1" applyBorder="1"/>
    <xf numFmtId="0" fontId="0" fillId="2" borderId="1" xfId="0" applyFill="1" applyBorder="1"/>
    <xf numFmtId="164" fontId="0" fillId="2" borderId="1" xfId="0" applyNumberFormat="1" applyFill="1" applyBorder="1"/>
    <xf numFmtId="165" fontId="2" fillId="2" borderId="1" xfId="0" applyNumberFormat="1" applyFont="1" applyFill="1" applyBorder="1"/>
    <xf numFmtId="165" fontId="6" fillId="2" borderId="1" xfId="0" applyNumberFormat="1" applyFont="1" applyFill="1" applyBorder="1"/>
    <xf numFmtId="0" fontId="2" fillId="2" borderId="0" xfId="0" applyFont="1" applyFill="1"/>
    <xf numFmtId="164" fontId="2" fillId="2" borderId="1" xfId="0" applyNumberFormat="1" applyFont="1" applyFill="1" applyBorder="1"/>
    <xf numFmtId="164" fontId="2" fillId="0" borderId="1" xfId="0" applyNumberFormat="1" applyFont="1" applyBorder="1"/>
    <xf numFmtId="165" fontId="2" fillId="0" borderId="1" xfId="0" applyNumberFormat="1" applyFont="1" applyBorder="1"/>
    <xf numFmtId="1" fontId="0" fillId="0" borderId="1" xfId="0" applyNumberFormat="1" applyFill="1" applyBorder="1"/>
    <xf numFmtId="3" fontId="0" fillId="0" borderId="1" xfId="0" applyNumberFormat="1" applyFill="1" applyBorder="1"/>
    <xf numFmtId="3" fontId="2" fillId="2" borderId="1" xfId="0" applyNumberFormat="1" applyFont="1" applyFill="1" applyBorder="1"/>
    <xf numFmtId="165" fontId="0" fillId="0" borderId="1" xfId="0" applyNumberFormat="1" applyFill="1" applyBorder="1"/>
    <xf numFmtId="9" fontId="0" fillId="0" borderId="1" xfId="0" applyNumberFormat="1" applyFill="1" applyBorder="1"/>
    <xf numFmtId="0" fontId="0" fillId="0" borderId="2" xfId="0" applyBorder="1"/>
    <xf numFmtId="165" fontId="0" fillId="0" borderId="2" xfId="0" applyNumberFormat="1" applyBorder="1"/>
    <xf numFmtId="164" fontId="0" fillId="0" borderId="2" xfId="0" applyNumberFormat="1" applyBorder="1"/>
    <xf numFmtId="0" fontId="0" fillId="0" borderId="1" xfId="0" applyFill="1" applyBorder="1"/>
    <xf numFmtId="3" fontId="2" fillId="0" borderId="1" xfId="0" applyNumberFormat="1" applyFont="1" applyBorder="1"/>
    <xf numFmtId="3" fontId="0" fillId="0" borderId="2" xfId="0" applyNumberFormat="1" applyBorder="1"/>
    <xf numFmtId="168" fontId="0" fillId="0" borderId="1" xfId="0" applyNumberFormat="1" applyBorder="1"/>
    <xf numFmtId="0" fontId="0" fillId="3" borderId="1" xfId="0" applyFill="1" applyBorder="1"/>
    <xf numFmtId="3" fontId="0" fillId="3" borderId="1" xfId="0" applyNumberFormat="1" applyFill="1" applyBorder="1"/>
    <xf numFmtId="165" fontId="0" fillId="3" borderId="1" xfId="0" applyNumberFormat="1" applyFill="1" applyBorder="1"/>
    <xf numFmtId="165" fontId="0" fillId="4" borderId="1" xfId="0" applyNumberFormat="1" applyFill="1" applyBorder="1"/>
    <xf numFmtId="164" fontId="0" fillId="4" borderId="1" xfId="0" applyNumberFormat="1" applyFill="1" applyBorder="1"/>
    <xf numFmtId="0" fontId="0" fillId="0" borderId="0" xfId="0" applyAlignment="1">
      <alignment wrapText="1"/>
    </xf>
    <xf numFmtId="0" fontId="0" fillId="0" borderId="1" xfId="0" applyBorder="1" applyAlignment="1">
      <alignment wrapText="1"/>
    </xf>
    <xf numFmtId="0" fontId="2" fillId="2" borderId="1" xfId="0" applyFont="1" applyFill="1" applyBorder="1" applyAlignment="1">
      <alignment wrapText="1"/>
    </xf>
    <xf numFmtId="0" fontId="6" fillId="2" borderId="1" xfId="0" applyFont="1" applyFill="1" applyBorder="1" applyAlignment="1">
      <alignment wrapText="1"/>
    </xf>
    <xf numFmtId="0" fontId="0" fillId="0" borderId="1" xfId="0" applyFont="1" applyBorder="1" applyAlignment="1">
      <alignment wrapText="1"/>
    </xf>
    <xf numFmtId="0" fontId="5" fillId="0" borderId="1" xfId="0" applyFont="1" applyBorder="1" applyAlignment="1">
      <alignment wrapText="1"/>
    </xf>
    <xf numFmtId="0" fontId="4" fillId="0" borderId="1" xfId="0" applyFont="1" applyBorder="1" applyAlignment="1">
      <alignment vertical="center" wrapText="1"/>
    </xf>
    <xf numFmtId="0" fontId="3" fillId="0" borderId="1" xfId="0" applyFont="1" applyBorder="1" applyAlignment="1">
      <alignment vertical="center" wrapText="1"/>
    </xf>
    <xf numFmtId="0" fontId="0" fillId="0" borderId="1" xfId="0" applyBorder="1" applyAlignment="1">
      <alignment vertical="center" wrapText="1"/>
    </xf>
    <xf numFmtId="0" fontId="5" fillId="0" borderId="1" xfId="0" applyFont="1" applyBorder="1" applyAlignment="1">
      <alignment vertical="center" wrapText="1"/>
    </xf>
    <xf numFmtId="165" fontId="0" fillId="5" borderId="1" xfId="0" applyNumberFormat="1" applyFill="1" applyBorder="1"/>
    <xf numFmtId="164" fontId="0" fillId="5" borderId="1" xfId="0" applyNumberFormat="1" applyFill="1" applyBorder="1"/>
    <xf numFmtId="165" fontId="2" fillId="0" borderId="0" xfId="0" applyNumberFormat="1" applyFont="1"/>
    <xf numFmtId="165" fontId="2" fillId="0" borderId="1" xfId="0" applyNumberFormat="1" applyFont="1" applyFill="1" applyBorder="1" applyAlignment="1">
      <alignment wrapText="1"/>
    </xf>
    <xf numFmtId="165" fontId="2" fillId="0" borderId="1" xfId="0" applyNumberFormat="1" applyFont="1" applyFill="1" applyBorder="1" applyAlignment="1">
      <alignment horizontal="left" vertical="top" wrapText="1"/>
    </xf>
    <xf numFmtId="165" fontId="6" fillId="0" borderId="1" xfId="0" applyNumberFormat="1" applyFont="1" applyBorder="1"/>
    <xf numFmtId="165" fontId="2" fillId="0" borderId="1" xfId="0" applyNumberFormat="1" applyFont="1" applyFill="1" applyBorder="1"/>
    <xf numFmtId="0" fontId="2" fillId="0" borderId="1" xfId="0" applyFont="1" applyFill="1" applyBorder="1"/>
    <xf numFmtId="0" fontId="0" fillId="0" borderId="0" xfId="0" applyFill="1"/>
    <xf numFmtId="0" fontId="0" fillId="0" borderId="1" xfId="0" applyFont="1" applyFill="1" applyBorder="1" applyAlignment="1">
      <alignment wrapText="1"/>
    </xf>
    <xf numFmtId="0" fontId="0" fillId="5" borderId="1" xfId="0" applyFill="1" applyBorder="1" applyAlignment="1">
      <alignment horizontal="right"/>
    </xf>
    <xf numFmtId="164" fontId="2" fillId="0" borderId="1" xfId="0" applyNumberFormat="1" applyFont="1" applyFill="1" applyBorder="1"/>
    <xf numFmtId="164" fontId="0" fillId="0" borderId="1" xfId="0" applyNumberFormat="1" applyFont="1" applyFill="1" applyBorder="1" applyAlignment="1">
      <alignment horizontal="right"/>
    </xf>
    <xf numFmtId="3" fontId="0" fillId="0" borderId="1" xfId="0" applyNumberFormat="1" applyFont="1" applyFill="1" applyBorder="1"/>
    <xf numFmtId="0" fontId="2" fillId="2" borderId="2" xfId="0" applyFont="1" applyFill="1" applyBorder="1" applyAlignment="1">
      <alignment wrapText="1"/>
    </xf>
    <xf numFmtId="165" fontId="2" fillId="2" borderId="2" xfId="0" applyNumberFormat="1" applyFont="1" applyFill="1" applyBorder="1"/>
    <xf numFmtId="0" fontId="2" fillId="2" borderId="2" xfId="0" applyFont="1" applyFill="1" applyBorder="1"/>
    <xf numFmtId="165" fontId="2" fillId="0" borderId="2" xfId="0" applyNumberFormat="1" applyFont="1" applyBorder="1"/>
    <xf numFmtId="0" fontId="0" fillId="6" borderId="3" xfId="0" applyFill="1" applyBorder="1"/>
    <xf numFmtId="0" fontId="0" fillId="6" borderId="6" xfId="0" applyFill="1" applyBorder="1"/>
    <xf numFmtId="0" fontId="0" fillId="6" borderId="0" xfId="0" applyFill="1"/>
    <xf numFmtId="0" fontId="0" fillId="6" borderId="7" xfId="0" applyFill="1" applyBorder="1"/>
    <xf numFmtId="0" fontId="8" fillId="6" borderId="1" xfId="0" applyFont="1" applyFill="1" applyBorder="1" applyAlignment="1">
      <alignment vertical="top" wrapText="1"/>
    </xf>
    <xf numFmtId="0" fontId="8" fillId="6" borderId="1" xfId="0" applyFont="1" applyFill="1" applyBorder="1" applyAlignment="1">
      <alignment vertical="top"/>
    </xf>
    <xf numFmtId="0" fontId="9" fillId="6" borderId="1" xfId="0" applyFont="1" applyFill="1" applyBorder="1" applyAlignment="1">
      <alignment vertical="top" wrapText="1"/>
    </xf>
    <xf numFmtId="0" fontId="0" fillId="6" borderId="8" xfId="0" applyFill="1" applyBorder="1"/>
    <xf numFmtId="0" fontId="0" fillId="6" borderId="9" xfId="0" applyFill="1" applyBorder="1"/>
    <xf numFmtId="0" fontId="0" fillId="6" borderId="10" xfId="0" applyFill="1" applyBorder="1"/>
    <xf numFmtId="9" fontId="0" fillId="0" borderId="1" xfId="2" applyFont="1" applyBorder="1"/>
    <xf numFmtId="0" fontId="10" fillId="6" borderId="4" xfId="0" applyFont="1" applyFill="1" applyBorder="1"/>
    <xf numFmtId="0" fontId="8" fillId="6" borderId="4" xfId="0" applyFont="1" applyFill="1" applyBorder="1"/>
    <xf numFmtId="0" fontId="8" fillId="6" borderId="5" xfId="0" applyFont="1" applyFill="1" applyBorder="1"/>
    <xf numFmtId="0" fontId="8" fillId="6" borderId="0" xfId="0" applyFont="1" applyFill="1"/>
    <xf numFmtId="0" fontId="8" fillId="6" borderId="7" xfId="0" applyFont="1" applyFill="1" applyBorder="1"/>
    <xf numFmtId="0" fontId="8" fillId="6" borderId="1" xfId="0" applyFont="1" applyFill="1" applyBorder="1"/>
    <xf numFmtId="9" fontId="8" fillId="6" borderId="1" xfId="0" applyNumberFormat="1" applyFont="1" applyFill="1" applyBorder="1"/>
    <xf numFmtId="6" fontId="8" fillId="6" borderId="1" xfId="0" applyNumberFormat="1" applyFont="1" applyFill="1" applyBorder="1"/>
    <xf numFmtId="0" fontId="0" fillId="6" borderId="0" xfId="0" applyFill="1" applyBorder="1"/>
    <xf numFmtId="0" fontId="2" fillId="6" borderId="0" xfId="0" applyFont="1" applyFill="1" applyBorder="1"/>
    <xf numFmtId="0" fontId="8" fillId="6" borderId="0" xfId="0" applyFont="1" applyFill="1" applyBorder="1" applyAlignment="1">
      <alignment vertical="top" wrapText="1"/>
    </xf>
    <xf numFmtId="6" fontId="0" fillId="6" borderId="0" xfId="0" applyNumberFormat="1" applyFill="1" applyBorder="1"/>
    <xf numFmtId="0" fontId="8" fillId="6" borderId="0" xfId="0" applyFont="1" applyFill="1" applyBorder="1" applyAlignment="1">
      <alignment vertical="top"/>
    </xf>
    <xf numFmtId="44" fontId="0" fillId="6" borderId="0" xfId="1" applyFont="1" applyFill="1" applyBorder="1"/>
    <xf numFmtId="0" fontId="9" fillId="6" borderId="0" xfId="0" applyFont="1" applyFill="1" applyBorder="1" applyAlignment="1">
      <alignment vertical="top" wrapText="1"/>
    </xf>
    <xf numFmtId="9" fontId="0" fillId="6" borderId="0" xfId="0" applyNumberFormat="1" applyFill="1" applyBorder="1"/>
    <xf numFmtId="0" fontId="8" fillId="6" borderId="1" xfId="0" applyFont="1" applyFill="1" applyBorder="1" applyAlignment="1"/>
    <xf numFmtId="0" fontId="8" fillId="7" borderId="1" xfId="0" applyFont="1" applyFill="1" applyBorder="1"/>
    <xf numFmtId="9" fontId="8" fillId="7" borderId="1" xfId="0" applyNumberFormat="1" applyFont="1" applyFill="1" applyBorder="1"/>
    <xf numFmtId="6" fontId="8" fillId="7" borderId="1" xfId="0" applyNumberFormat="1" applyFont="1" applyFill="1" applyBorder="1"/>
    <xf numFmtId="6" fontId="8" fillId="7" borderId="1" xfId="1" applyNumberFormat="1" applyFont="1" applyFill="1" applyBorder="1"/>
    <xf numFmtId="0" fontId="10" fillId="8" borderId="1" xfId="0" applyFont="1" applyFill="1" applyBorder="1"/>
    <xf numFmtId="0" fontId="3" fillId="0" borderId="1" xfId="0" applyFont="1" applyBorder="1" applyAlignment="1">
      <alignment horizontal="left" vertical="top" wrapText="1"/>
    </xf>
    <xf numFmtId="0" fontId="8" fillId="0" borderId="1" xfId="0" applyFont="1" applyFill="1" applyBorder="1"/>
    <xf numFmtId="9" fontId="8" fillId="0" borderId="1" xfId="0" applyNumberFormat="1" applyFont="1" applyFill="1" applyBorder="1"/>
    <xf numFmtId="6" fontId="8" fillId="0" borderId="1" xfId="0" applyNumberFormat="1" applyFont="1" applyFill="1" applyBorder="1"/>
    <xf numFmtId="6" fontId="8" fillId="0" borderId="1" xfId="1" applyNumberFormat="1" applyFont="1" applyFill="1" applyBorder="1"/>
    <xf numFmtId="0" fontId="8" fillId="6" borderId="0" xfId="0" applyFont="1" applyFill="1" applyBorder="1"/>
    <xf numFmtId="0" fontId="0" fillId="0" borderId="0" xfId="0" applyBorder="1"/>
    <xf numFmtId="0" fontId="12" fillId="6" borderId="0" xfId="0" applyFont="1" applyFill="1" applyBorder="1"/>
    <xf numFmtId="0" fontId="0" fillId="0" borderId="0" xfId="0" applyFill="1" applyBorder="1"/>
    <xf numFmtId="0" fontId="12" fillId="6" borderId="1" xfId="0" applyFont="1" applyFill="1" applyBorder="1" applyAlignment="1">
      <alignment horizontal="center" vertical="center"/>
    </xf>
    <xf numFmtId="9" fontId="12" fillId="6" borderId="1" xfId="0" applyNumberFormat="1" applyFont="1" applyFill="1" applyBorder="1" applyAlignment="1">
      <alignment horizontal="center" vertical="center"/>
    </xf>
    <xf numFmtId="6" fontId="12" fillId="6" borderId="1" xfId="0" applyNumberFormat="1" applyFont="1" applyFill="1" applyBorder="1" applyAlignment="1">
      <alignment horizontal="center" vertical="center"/>
    </xf>
    <xf numFmtId="0" fontId="12" fillId="6" borderId="1"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0" fillId="0" borderId="1" xfId="0" applyFill="1" applyBorder="1" applyAlignment="1">
      <alignment horizontal="right"/>
    </xf>
    <xf numFmtId="165" fontId="12" fillId="0" borderId="1" xfId="0" applyNumberFormat="1" applyFont="1" applyFill="1" applyBorder="1" applyAlignment="1">
      <alignment horizontal="center" vertical="center"/>
    </xf>
    <xf numFmtId="0" fontId="2" fillId="2" borderId="0" xfId="0" applyFont="1" applyFill="1" applyBorder="1" applyAlignment="1">
      <alignment wrapText="1"/>
    </xf>
    <xf numFmtId="165" fontId="2" fillId="2" borderId="0" xfId="0" applyNumberFormat="1" applyFont="1" applyFill="1" applyBorder="1"/>
    <xf numFmtId="0" fontId="2" fillId="0" borderId="0" xfId="0" applyFont="1" applyBorder="1"/>
    <xf numFmtId="165" fontId="2" fillId="0" borderId="0" xfId="0" applyNumberFormat="1" applyFont="1" applyBorder="1"/>
    <xf numFmtId="3" fontId="2" fillId="2" borderId="0" xfId="0" applyNumberFormat="1" applyFont="1" applyFill="1" applyBorder="1"/>
    <xf numFmtId="165" fontId="2" fillId="2" borderId="2" xfId="2" applyNumberFormat="1" applyFont="1" applyFill="1" applyBorder="1"/>
    <xf numFmtId="165" fontId="12" fillId="6" borderId="2" xfId="0" applyNumberFormat="1" applyFont="1" applyFill="1" applyBorder="1" applyAlignment="1">
      <alignment horizontal="center" vertical="center"/>
    </xf>
    <xf numFmtId="165" fontId="12" fillId="0" borderId="2" xfId="0" applyNumberFormat="1" applyFont="1" applyFill="1" applyBorder="1" applyAlignment="1">
      <alignment horizontal="center" vertical="center"/>
    </xf>
    <xf numFmtId="165" fontId="12" fillId="6" borderId="1" xfId="0" applyNumberFormat="1" applyFont="1" applyFill="1" applyBorder="1" applyAlignment="1">
      <alignment horizontal="center" vertical="center"/>
    </xf>
    <xf numFmtId="3" fontId="12" fillId="6"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xf>
    <xf numFmtId="165" fontId="12" fillId="6" borderId="1" xfId="0" applyNumberFormat="1" applyFont="1" applyFill="1" applyBorder="1" applyAlignment="1">
      <alignment horizontal="center" vertical="center" wrapText="1"/>
    </xf>
    <xf numFmtId="164" fontId="12" fillId="0" borderId="2" xfId="0" applyNumberFormat="1" applyFont="1" applyFill="1" applyBorder="1" applyAlignment="1">
      <alignment horizontal="center" vertical="center"/>
    </xf>
    <xf numFmtId="164" fontId="12" fillId="6" borderId="1" xfId="0" applyNumberFormat="1" applyFont="1" applyFill="1" applyBorder="1" applyAlignment="1">
      <alignment horizontal="center" vertical="center" wrapText="1"/>
    </xf>
    <xf numFmtId="1" fontId="12" fillId="6" borderId="1" xfId="0" applyNumberFormat="1" applyFont="1" applyFill="1" applyBorder="1" applyAlignment="1">
      <alignment horizontal="center" vertical="center" wrapText="1"/>
    </xf>
    <xf numFmtId="6" fontId="12" fillId="0" borderId="1" xfId="0" applyNumberFormat="1" applyFont="1" applyFill="1" applyBorder="1" applyAlignment="1">
      <alignment horizontal="center" vertical="center"/>
    </xf>
    <xf numFmtId="0" fontId="11" fillId="6" borderId="1" xfId="0" applyFont="1" applyFill="1" applyBorder="1" applyAlignment="1">
      <alignment horizontal="left" vertical="center" wrapText="1"/>
    </xf>
    <xf numFmtId="165" fontId="11"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3" fontId="12" fillId="6" borderId="11" xfId="0" applyNumberFormat="1" applyFont="1" applyFill="1" applyBorder="1" applyAlignment="1">
      <alignment horizontal="center" vertical="center" wrapText="1"/>
    </xf>
    <xf numFmtId="165" fontId="12" fillId="6" borderId="11" xfId="0" applyNumberFormat="1" applyFont="1" applyFill="1" applyBorder="1" applyAlignment="1">
      <alignment horizontal="center" vertical="center" wrapText="1"/>
    </xf>
    <xf numFmtId="164" fontId="12" fillId="6" borderId="11" xfId="0" applyNumberFormat="1" applyFont="1" applyFill="1" applyBorder="1" applyAlignment="1">
      <alignment horizontal="center" vertical="center" wrapText="1"/>
    </xf>
    <xf numFmtId="1" fontId="12" fillId="6" borderId="11" xfId="0" applyNumberFormat="1" applyFont="1" applyFill="1" applyBorder="1" applyAlignment="1">
      <alignment horizontal="center" vertical="center" wrapText="1"/>
    </xf>
    <xf numFmtId="0" fontId="12" fillId="10" borderId="1" xfId="0" applyFont="1" applyFill="1" applyBorder="1" applyAlignment="1">
      <alignment horizontal="center" vertical="center"/>
    </xf>
    <xf numFmtId="9" fontId="12" fillId="10" borderId="1" xfId="0" applyNumberFormat="1" applyFont="1" applyFill="1" applyBorder="1" applyAlignment="1">
      <alignment horizontal="center" vertical="center"/>
    </xf>
    <xf numFmtId="6" fontId="12" fillId="10" borderId="1" xfId="0" applyNumberFormat="1" applyFont="1" applyFill="1" applyBorder="1" applyAlignment="1">
      <alignment horizontal="center" vertical="center"/>
    </xf>
    <xf numFmtId="165" fontId="12" fillId="10" borderId="2" xfId="0" applyNumberFormat="1" applyFont="1" applyFill="1" applyBorder="1" applyAlignment="1">
      <alignment horizontal="center" vertical="center"/>
    </xf>
    <xf numFmtId="165" fontId="12" fillId="10" borderId="1" xfId="0" applyNumberFormat="1" applyFont="1" applyFill="1" applyBorder="1" applyAlignment="1">
      <alignment horizontal="center" vertical="center"/>
    </xf>
    <xf numFmtId="0" fontId="17" fillId="9" borderId="1" xfId="0" applyFont="1" applyFill="1" applyBorder="1" applyAlignment="1">
      <alignment horizontal="center" vertical="center"/>
    </xf>
    <xf numFmtId="0" fontId="17" fillId="9" borderId="1" xfId="0" applyFont="1" applyFill="1" applyBorder="1" applyAlignment="1">
      <alignment horizontal="center" vertical="center" wrapText="1"/>
    </xf>
    <xf numFmtId="0" fontId="19" fillId="0" borderId="0" xfId="3" applyFont="1" applyAlignment="1">
      <alignment horizontal="center" vertical="center"/>
    </xf>
    <xf numFmtId="0" fontId="17" fillId="9" borderId="6" xfId="0" applyFont="1" applyFill="1" applyBorder="1" applyAlignment="1">
      <alignment horizontal="center" vertical="center" wrapText="1"/>
    </xf>
    <xf numFmtId="0" fontId="12" fillId="6" borderId="6" xfId="0" applyFont="1" applyFill="1" applyBorder="1"/>
    <xf numFmtId="0" fontId="12" fillId="0" borderId="6" xfId="0" applyFont="1" applyFill="1" applyBorder="1"/>
    <xf numFmtId="9" fontId="12" fillId="0" borderId="6" xfId="0" applyNumberFormat="1" applyFont="1" applyFill="1" applyBorder="1"/>
    <xf numFmtId="6" fontId="12" fillId="0" borderId="6" xfId="0" applyNumberFormat="1" applyFont="1" applyFill="1" applyBorder="1"/>
    <xf numFmtId="0" fontId="0" fillId="0" borderId="6" xfId="0" applyFill="1" applyBorder="1"/>
    <xf numFmtId="164" fontId="0" fillId="2" borderId="0" xfId="0" applyNumberFormat="1" applyFont="1" applyFill="1"/>
    <xf numFmtId="0" fontId="2" fillId="0" borderId="12" xfId="0" applyFont="1" applyBorder="1" applyAlignment="1"/>
    <xf numFmtId="0" fontId="0" fillId="0" borderId="1" xfId="0" applyFill="1" applyBorder="1" applyAlignment="1">
      <alignment wrapText="1"/>
    </xf>
    <xf numFmtId="0" fontId="2" fillId="0" borderId="1" xfId="0" applyFont="1" applyFill="1" applyBorder="1" applyAlignment="1">
      <alignment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wrapText="1"/>
    </xf>
    <xf numFmtId="164" fontId="0" fillId="0" borderId="1" xfId="0" applyNumberFormat="1" applyFont="1" applyFill="1" applyBorder="1"/>
    <xf numFmtId="165" fontId="0" fillId="0" borderId="1" xfId="0" applyNumberFormat="1" applyFont="1" applyFill="1" applyBorder="1" applyAlignment="1">
      <alignment wrapText="1"/>
    </xf>
    <xf numFmtId="165" fontId="0" fillId="0" borderId="1" xfId="0" applyNumberFormat="1" applyFont="1" applyFill="1" applyBorder="1"/>
    <xf numFmtId="165" fontId="7" fillId="0" borderId="1" xfId="2" applyNumberFormat="1" applyFont="1" applyFill="1" applyBorder="1"/>
    <xf numFmtId="1" fontId="0" fillId="0" borderId="1" xfId="0" applyNumberFormat="1" applyFont="1" applyFill="1" applyBorder="1"/>
    <xf numFmtId="0" fontId="0" fillId="0" borderId="1" xfId="0" applyFont="1" applyFill="1" applyBorder="1"/>
    <xf numFmtId="165" fontId="3" fillId="0" borderId="1" xfId="0" applyNumberFormat="1" applyFont="1" applyFill="1" applyBorder="1" applyAlignment="1">
      <alignment vertical="center" wrapText="1"/>
    </xf>
    <xf numFmtId="165" fontId="0" fillId="0" borderId="1" xfId="0" applyNumberFormat="1" applyFont="1" applyFill="1" applyBorder="1" applyAlignment="1">
      <alignment vertical="center" wrapText="1"/>
    </xf>
    <xf numFmtId="164" fontId="0" fillId="0" borderId="1" xfId="0" applyNumberFormat="1" applyFont="1" applyFill="1" applyBorder="1" applyAlignment="1">
      <alignment wrapText="1"/>
    </xf>
    <xf numFmtId="3" fontId="0" fillId="0" borderId="1" xfId="0" applyNumberFormat="1" applyFont="1" applyFill="1" applyBorder="1" applyAlignment="1">
      <alignment wrapText="1"/>
    </xf>
    <xf numFmtId="0" fontId="23" fillId="6" borderId="0" xfId="0" applyFont="1" applyFill="1"/>
    <xf numFmtId="0" fontId="14" fillId="0" borderId="9" xfId="0" applyFont="1" applyBorder="1" applyAlignment="1">
      <alignment horizontal="center"/>
    </xf>
    <xf numFmtId="0" fontId="0" fillId="0" borderId="9" xfId="0" applyBorder="1" applyAlignment="1">
      <alignment horizontal="center"/>
    </xf>
    <xf numFmtId="0" fontId="11" fillId="0" borderId="6" xfId="0" applyFont="1" applyFill="1" applyBorder="1" applyAlignment="1">
      <alignment horizontal="center" vertical="center"/>
    </xf>
    <xf numFmtId="0" fontId="0" fillId="0" borderId="0" xfId="0" applyAlignment="1">
      <alignment horizontal="center"/>
    </xf>
    <xf numFmtId="0" fontId="0" fillId="0" borderId="4" xfId="0" applyBorder="1" applyAlignment="1"/>
    <xf numFmtId="0" fontId="0" fillId="0" borderId="5" xfId="0" applyBorder="1" applyAlignment="1"/>
    <xf numFmtId="0" fontId="15" fillId="6" borderId="4" xfId="0" applyFont="1" applyFill="1" applyBorder="1" applyAlignment="1"/>
    <xf numFmtId="0" fontId="19" fillId="6" borderId="0" xfId="3" applyFill="1" applyBorder="1" applyAlignment="1">
      <alignment horizontal="left" vertical="center" wrapText="1"/>
    </xf>
    <xf numFmtId="0" fontId="1" fillId="6" borderId="0" xfId="0" applyFont="1" applyFill="1" applyBorder="1"/>
    <xf numFmtId="0" fontId="1" fillId="6" borderId="0" xfId="0" applyFont="1" applyFill="1"/>
    <xf numFmtId="0" fontId="1" fillId="0" borderId="0" xfId="0" applyFont="1"/>
    <xf numFmtId="0" fontId="0" fillId="0" borderId="0" xfId="0" applyAlignment="1">
      <alignment vertical="top"/>
    </xf>
    <xf numFmtId="0" fontId="2" fillId="6" borderId="6" xfId="0" applyFont="1" applyFill="1" applyBorder="1" applyAlignment="1">
      <alignment horizontal="left" vertical="center" wrapText="1"/>
    </xf>
    <xf numFmtId="0" fontId="2" fillId="6" borderId="0" xfId="0" applyFont="1" applyFill="1" applyBorder="1" applyAlignment="1">
      <alignment horizontal="left" vertical="center" wrapText="1"/>
    </xf>
    <xf numFmtId="0" fontId="2" fillId="6" borderId="7" xfId="0" applyFont="1" applyFill="1" applyBorder="1" applyAlignment="1">
      <alignment horizontal="left" vertical="center" wrapText="1"/>
    </xf>
    <xf numFmtId="0" fontId="19" fillId="6" borderId="8" xfId="3" applyFont="1" applyFill="1" applyBorder="1" applyAlignment="1">
      <alignment horizontal="left" vertical="center" wrapText="1"/>
    </xf>
    <xf numFmtId="0" fontId="19" fillId="6" borderId="9" xfId="3" applyFont="1" applyFill="1" applyBorder="1" applyAlignment="1">
      <alignment horizontal="left" vertical="center" wrapText="1"/>
    </xf>
    <xf numFmtId="0" fontId="19" fillId="6" borderId="10" xfId="3" applyFont="1" applyFill="1" applyBorder="1" applyAlignment="1">
      <alignment horizontal="left" vertical="center" wrapText="1"/>
    </xf>
    <xf numFmtId="0" fontId="14" fillId="0" borderId="9" xfId="0" applyFont="1" applyBorder="1" applyAlignment="1">
      <alignment horizontal="center"/>
    </xf>
    <xf numFmtId="0" fontId="0" fillId="0" borderId="9" xfId="0" applyBorder="1" applyAlignment="1">
      <alignment horizontal="center"/>
    </xf>
    <xf numFmtId="0" fontId="0" fillId="6" borderId="6" xfId="0" applyFont="1" applyFill="1" applyBorder="1" applyAlignment="1">
      <alignment horizontal="left" vertical="center" wrapText="1"/>
    </xf>
    <xf numFmtId="0" fontId="0" fillId="6" borderId="0" xfId="0" applyFont="1" applyFill="1" applyBorder="1" applyAlignment="1">
      <alignment horizontal="left" vertical="center" wrapText="1"/>
    </xf>
    <xf numFmtId="0" fontId="0" fillId="6" borderId="7" xfId="0" applyFont="1" applyFill="1" applyBorder="1" applyAlignment="1">
      <alignment horizontal="left" vertical="center" wrapText="1"/>
    </xf>
    <xf numFmtId="0" fontId="0" fillId="6" borderId="3" xfId="0" applyFont="1" applyFill="1" applyBorder="1" applyAlignment="1">
      <alignment horizontal="left" vertical="center" wrapText="1"/>
    </xf>
    <xf numFmtId="0" fontId="0" fillId="6" borderId="4" xfId="0" applyFont="1" applyFill="1" applyBorder="1" applyAlignment="1">
      <alignment horizontal="left" vertical="center" wrapText="1"/>
    </xf>
    <xf numFmtId="0" fontId="0" fillId="6" borderId="5" xfId="0" applyFont="1" applyFill="1" applyBorder="1" applyAlignment="1">
      <alignment horizontal="left" vertical="center" wrapText="1"/>
    </xf>
    <xf numFmtId="0" fontId="19" fillId="0" borderId="0" xfId="3" applyAlignment="1"/>
    <xf numFmtId="0" fontId="20" fillId="9" borderId="11" xfId="0" applyFont="1" applyFill="1" applyBorder="1" applyAlignment="1">
      <alignment horizontal="center" vertical="center"/>
    </xf>
    <xf numFmtId="0" fontId="20" fillId="9" borderId="13" xfId="0" applyFont="1" applyFill="1" applyBorder="1" applyAlignment="1">
      <alignment horizontal="center" vertical="center"/>
    </xf>
    <xf numFmtId="0" fontId="20" fillId="9" borderId="12" xfId="0" applyFont="1" applyFill="1" applyBorder="1" applyAlignment="1">
      <alignment horizontal="center" vertical="center"/>
    </xf>
    <xf numFmtId="0" fontId="20" fillId="9" borderId="3" xfId="0" applyFont="1" applyFill="1" applyBorder="1" applyAlignment="1">
      <alignment horizontal="center" vertical="center"/>
    </xf>
    <xf numFmtId="0" fontId="20" fillId="9" borderId="4" xfId="0" applyFont="1" applyFill="1" applyBorder="1" applyAlignment="1">
      <alignment horizontal="center" vertical="center"/>
    </xf>
    <xf numFmtId="0" fontId="20" fillId="9" borderId="5" xfId="0" applyFont="1" applyFill="1" applyBorder="1" applyAlignment="1">
      <alignment horizontal="center" vertical="center"/>
    </xf>
    <xf numFmtId="0" fontId="12" fillId="6" borderId="0" xfId="0" applyFont="1" applyFill="1" applyBorder="1" applyAlignment="1">
      <alignment horizontal="left" vertical="center" wrapText="1"/>
    </xf>
    <xf numFmtId="0" fontId="0" fillId="0" borderId="7" xfId="0" applyBorder="1" applyAlignment="1"/>
    <xf numFmtId="0" fontId="12" fillId="6" borderId="9" xfId="0" applyFont="1" applyFill="1" applyBorder="1" applyAlignment="1">
      <alignment horizontal="left" vertical="center" wrapText="1"/>
    </xf>
    <xf numFmtId="0" fontId="0" fillId="0" borderId="10" xfId="0" applyBorder="1" applyAlignment="1"/>
    <xf numFmtId="0" fontId="12" fillId="6" borderId="4" xfId="0" applyFont="1" applyFill="1" applyBorder="1" applyAlignment="1">
      <alignment horizontal="left" vertical="center" wrapText="1"/>
    </xf>
    <xf numFmtId="0" fontId="0" fillId="0" borderId="5" xfId="0" applyBorder="1" applyAlignment="1"/>
    <xf numFmtId="0" fontId="11" fillId="0" borderId="6" xfId="0" applyFont="1" applyFill="1" applyBorder="1" applyAlignment="1">
      <alignment horizontal="center" vertical="center"/>
    </xf>
    <xf numFmtId="0" fontId="0" fillId="0" borderId="7" xfId="0" applyFill="1" applyBorder="1" applyAlignment="1">
      <alignment horizontal="center" vertical="center"/>
    </xf>
    <xf numFmtId="0" fontId="14" fillId="0" borderId="0" xfId="0" applyFont="1" applyAlignment="1">
      <alignment horizontal="center" vertical="top"/>
    </xf>
    <xf numFmtId="0" fontId="0" fillId="0" borderId="0" xfId="0" applyAlignment="1">
      <alignment horizontal="center" vertical="top"/>
    </xf>
    <xf numFmtId="0" fontId="0" fillId="0" borderId="0" xfId="0" applyAlignment="1">
      <alignment vertical="top"/>
    </xf>
    <xf numFmtId="0" fontId="1" fillId="6" borderId="0" xfId="0" applyFont="1" applyFill="1" applyBorder="1" applyAlignment="1">
      <alignment horizontal="left" vertical="center" wrapText="1"/>
    </xf>
    <xf numFmtId="0" fontId="24" fillId="0" borderId="0" xfId="3" applyFont="1"/>
    <xf numFmtId="0" fontId="0" fillId="0" borderId="0" xfId="0" applyAlignment="1"/>
    <xf numFmtId="0" fontId="0" fillId="0" borderId="9" xfId="0" applyBorder="1" applyAlignment="1"/>
    <xf numFmtId="0" fontId="15" fillId="6" borderId="4" xfId="0" applyFont="1" applyFill="1" applyBorder="1" applyAlignment="1">
      <alignment horizontal="left" vertical="top"/>
    </xf>
    <xf numFmtId="0" fontId="16" fillId="0" borderId="4" xfId="0" applyFont="1" applyBorder="1" applyAlignment="1"/>
    <xf numFmtId="0" fontId="16" fillId="0" borderId="5" xfId="0" applyFont="1" applyBorder="1" applyAlignment="1"/>
    <xf numFmtId="0" fontId="17" fillId="9" borderId="11" xfId="0" applyFont="1" applyFill="1" applyBorder="1" applyAlignment="1">
      <alignment horizontal="center" vertical="center"/>
    </xf>
    <xf numFmtId="0" fontId="18" fillId="9" borderId="12" xfId="0" applyFont="1" applyFill="1" applyBorder="1" applyAlignment="1">
      <alignment horizontal="center" vertical="center"/>
    </xf>
    <xf numFmtId="0" fontId="12" fillId="6" borderId="11" xfId="0" applyFont="1" applyFill="1" applyBorder="1" applyAlignment="1">
      <alignment horizontal="left" vertical="center" wrapText="1"/>
    </xf>
    <xf numFmtId="0" fontId="0" fillId="0" borderId="12" xfId="0" applyBorder="1" applyAlignment="1">
      <alignment horizontal="left" vertical="center" wrapText="1"/>
    </xf>
    <xf numFmtId="3" fontId="12" fillId="0" borderId="6" xfId="0" applyNumberFormat="1" applyFont="1" applyFill="1" applyBorder="1" applyAlignment="1">
      <alignment horizontal="center" vertical="center"/>
    </xf>
    <xf numFmtId="165" fontId="12" fillId="0" borderId="6" xfId="0" applyNumberFormat="1" applyFont="1" applyFill="1" applyBorder="1" applyAlignment="1">
      <alignment horizontal="center" vertical="center"/>
    </xf>
    <xf numFmtId="164" fontId="12" fillId="0" borderId="6" xfId="0" applyNumberFormat="1" applyFont="1" applyFill="1" applyBorder="1" applyAlignment="1">
      <alignment horizontal="center" vertical="center"/>
    </xf>
    <xf numFmtId="1" fontId="12" fillId="0" borderId="6" xfId="0" applyNumberFormat="1" applyFont="1" applyFill="1" applyBorder="1" applyAlignment="1">
      <alignment horizontal="center" vertical="center"/>
    </xf>
    <xf numFmtId="0" fontId="2" fillId="0" borderId="1" xfId="0" applyFont="1" applyBorder="1" applyAlignment="1">
      <alignment horizontal="center"/>
    </xf>
    <xf numFmtId="0" fontId="8" fillId="6" borderId="0" xfId="0" applyFont="1" applyFill="1" applyAlignment="1">
      <alignment horizontal="left" vertical="center" wrapText="1"/>
    </xf>
    <xf numFmtId="0" fontId="8" fillId="6" borderId="0" xfId="0" applyFont="1" applyFill="1" applyBorder="1" applyAlignment="1">
      <alignment horizontal="left" vertical="center"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D59F0F"/>
      <color rgb="FFFF9933"/>
      <color rgb="FF000F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5.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styles" Target="styles.xml"/><Relationship Id="rId5" Type="http://schemas.openxmlformats.org/officeDocument/2006/relationships/chartsheet" Target="chartsheets/sheet2.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chartsheet" Target="chartsheets/sheet1.xml"/><Relationship Id="rId9" Type="http://schemas.openxmlformats.org/officeDocument/2006/relationships/worksheet" Target="worksheets/sheet7.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dk1"/>
                </a:solidFill>
                <a:latin typeface="+mn-lt"/>
                <a:ea typeface="+mn-ea"/>
                <a:cs typeface="+mn-cs"/>
              </a:defRPr>
            </a:pPr>
            <a:r>
              <a:rPr lang="en-US" b="1"/>
              <a:t>Per Student Charter School Facility Funding Gap (FY 2025)</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5"/>
          <c:order val="5"/>
          <c:tx>
            <c:strRef>
              <c:f>'Data Details'!$C$101</c:f>
              <c:strCache>
                <c:ptCount val="1"/>
                <c:pt idx="0">
                  <c:v>Per Student Facility Funding Gap</c:v>
                </c:pt>
              </c:strCache>
            </c:strRef>
          </c:tx>
          <c:spPr>
            <a:solidFill>
              <a:srgbClr val="FF0000"/>
            </a:solidFill>
            <a:ln>
              <a:solidFill>
                <a:schemeClr val="tx1"/>
              </a:solidFill>
            </a:ln>
            <a:effectLst/>
          </c:spPr>
          <c:invertIfNegative val="0"/>
          <c:dPt>
            <c:idx val="0"/>
            <c:invertIfNegative val="0"/>
            <c:bubble3D val="0"/>
            <c:spPr>
              <a:solidFill>
                <a:srgbClr val="000F5D"/>
              </a:solidFill>
              <a:ln>
                <a:solidFill>
                  <a:schemeClr val="tx1"/>
                </a:solidFill>
              </a:ln>
              <a:effectLst/>
            </c:spPr>
            <c:extLst>
              <c:ext xmlns:c16="http://schemas.microsoft.com/office/drawing/2014/chart" uri="{C3380CC4-5D6E-409C-BE32-E72D297353CC}">
                <c16:uniqueId val="{00000001-81C4-4DB7-9458-26E32F5A59AD}"/>
              </c:ext>
            </c:extLst>
          </c:dPt>
          <c:dPt>
            <c:idx val="1"/>
            <c:invertIfNegative val="0"/>
            <c:bubble3D val="0"/>
            <c:spPr>
              <a:solidFill>
                <a:srgbClr val="D59F0F"/>
              </a:solidFill>
              <a:ln>
                <a:solidFill>
                  <a:schemeClr val="tx1"/>
                </a:solidFill>
              </a:ln>
              <a:effectLst/>
            </c:spPr>
            <c:extLst>
              <c:ext xmlns:c16="http://schemas.microsoft.com/office/drawing/2014/chart" uri="{C3380CC4-5D6E-409C-BE32-E72D297353CC}">
                <c16:uniqueId val="{00000000-81C4-4DB7-9458-26E32F5A59AD}"/>
              </c:ext>
            </c:extLst>
          </c:dPt>
          <c:dLbls>
            <c:spPr>
              <a:noFill/>
              <a:ln>
                <a:noFill/>
              </a:ln>
              <a:effectLst/>
            </c:spPr>
            <c:txPr>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Details'!$E$94:$F$94</c:f>
              <c:strCache>
                <c:ptCount val="2"/>
                <c:pt idx="0">
                  <c:v>Current
Policy</c:v>
                </c:pt>
                <c:pt idx="1">
                  <c:v>Revised
Policy</c:v>
                </c:pt>
              </c:strCache>
            </c:strRef>
          </c:cat>
          <c:val>
            <c:numRef>
              <c:f>'Data Details'!$E$101:$F$101</c:f>
              <c:numCache>
                <c:formatCode>"$"#,##0</c:formatCode>
                <c:ptCount val="2"/>
                <c:pt idx="0">
                  <c:v>1295.8072405511778</c:v>
                </c:pt>
                <c:pt idx="1">
                  <c:v>1295.8072405511778</c:v>
                </c:pt>
              </c:numCache>
            </c:numRef>
          </c:val>
          <c:extLst>
            <c:ext xmlns:c16="http://schemas.microsoft.com/office/drawing/2014/chart" uri="{C3380CC4-5D6E-409C-BE32-E72D297353CC}">
              <c16:uniqueId val="{00000005-9592-4FF6-8A30-C52FA36A5854}"/>
            </c:ext>
          </c:extLst>
        </c:ser>
        <c:dLbls>
          <c:showLegendKey val="0"/>
          <c:showVal val="0"/>
          <c:showCatName val="0"/>
          <c:showSerName val="0"/>
          <c:showPercent val="0"/>
          <c:showBubbleSize val="0"/>
        </c:dLbls>
        <c:gapWidth val="67"/>
        <c:overlap val="-27"/>
        <c:axId val="357905120"/>
        <c:axId val="1924406016"/>
        <c:extLst>
          <c:ext xmlns:c15="http://schemas.microsoft.com/office/drawing/2012/chart" uri="{02D57815-91ED-43cb-92C2-25804820EDAC}">
            <c15:filteredBarSeries>
              <c15:ser>
                <c:idx val="0"/>
                <c:order val="0"/>
                <c:tx>
                  <c:strRef>
                    <c:extLst>
                      <c:ext uri="{02D57815-91ED-43cb-92C2-25804820EDAC}">
                        <c15:formulaRef>
                          <c15:sqref>'Data Details'!$C$95</c15:sqref>
                        </c15:formulaRef>
                      </c:ext>
                    </c:extLst>
                    <c:strCache>
                      <c:ptCount val="1"/>
                      <c:pt idx="0">
                        <c:v>Total Need Met</c:v>
                      </c:pt>
                    </c:strCache>
                  </c:strRef>
                </c:tx>
                <c:spPr>
                  <a:solidFill>
                    <a:schemeClr val="accent1"/>
                  </a:solidFill>
                  <a:ln>
                    <a:noFill/>
                  </a:ln>
                  <a:effectLst/>
                </c:spPr>
                <c:invertIfNegative val="0"/>
                <c:cat>
                  <c:strRef>
                    <c:extLst>
                      <c:ext uri="{02D57815-91ED-43cb-92C2-25804820EDAC}">
                        <c15:formulaRef>
                          <c15:sqref>'Data Details'!$E$94:$F$94</c15:sqref>
                        </c15:formulaRef>
                      </c:ext>
                    </c:extLst>
                    <c:strCache>
                      <c:ptCount val="2"/>
                      <c:pt idx="0">
                        <c:v>Current
Policy</c:v>
                      </c:pt>
                      <c:pt idx="1">
                        <c:v>Revised
Policy</c:v>
                      </c:pt>
                    </c:strCache>
                  </c:strRef>
                </c:cat>
                <c:val>
                  <c:numRef>
                    <c:extLst>
                      <c:ext uri="{02D57815-91ED-43cb-92C2-25804820EDAC}">
                        <c15:formulaRef>
                          <c15:sqref>'Data Details'!$E$95:$F$95</c15:sqref>
                        </c15:formulaRef>
                      </c:ext>
                    </c:extLst>
                    <c:numCache>
                      <c:formatCode>0.0%</c:formatCode>
                      <c:ptCount val="2"/>
                      <c:pt idx="0">
                        <c:v>0.35764621565205679</c:v>
                      </c:pt>
                      <c:pt idx="1">
                        <c:v>0.35764621565205679</c:v>
                      </c:pt>
                    </c:numCache>
                  </c:numRef>
                </c:val>
                <c:extLst>
                  <c:ext xmlns:c16="http://schemas.microsoft.com/office/drawing/2014/chart" uri="{C3380CC4-5D6E-409C-BE32-E72D297353CC}">
                    <c16:uniqueId val="{00000003-9592-4FF6-8A30-C52FA36A585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'Data Details'!$C$97</c15:sqref>
                        </c15:formulaRef>
                      </c:ext>
                    </c:extLst>
                    <c:strCache>
                      <c:ptCount val="1"/>
                      <c:pt idx="0">
                        <c:v>Funding Subtotal</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'Data Details'!$E$94:$F$94</c15:sqref>
                        </c15:formulaRef>
                      </c:ext>
                    </c:extLst>
                    <c:strCache>
                      <c:ptCount val="2"/>
                      <c:pt idx="0">
                        <c:v>Current
Policy</c:v>
                      </c:pt>
                      <c:pt idx="1">
                        <c:v>Revised
Policy</c:v>
                      </c:pt>
                    </c:strCache>
                  </c:strRef>
                </c:cat>
                <c:val>
                  <c:numRef>
                    <c:extLst xmlns:c15="http://schemas.microsoft.com/office/drawing/2012/chart">
                      <c:ext xmlns:c15="http://schemas.microsoft.com/office/drawing/2012/chart" uri="{02D57815-91ED-43cb-92C2-25804820EDAC}">
                        <c15:formulaRef>
                          <c15:sqref>'Data Details'!$E$97:$F$97</c15:sqref>
                        </c15:formulaRef>
                      </c:ext>
                    </c:extLst>
                    <c:numCache>
                      <c:formatCode>0.0%</c:formatCode>
                      <c:ptCount val="2"/>
                      <c:pt idx="0">
                        <c:v>0.24440464823899297</c:v>
                      </c:pt>
                      <c:pt idx="1">
                        <c:v>0.24440464823899297</c:v>
                      </c:pt>
                    </c:numCache>
                  </c:numRef>
                </c:val>
                <c:extLst xmlns:c15="http://schemas.microsoft.com/office/drawing/2012/chart">
                  <c:ext xmlns:c16="http://schemas.microsoft.com/office/drawing/2014/chart" uri="{C3380CC4-5D6E-409C-BE32-E72D297353CC}">
                    <c16:uniqueId val="{00000000-9592-4FF6-8A30-C52FA36A585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'Data Details'!$C$98</c15:sqref>
                        </c15:formulaRef>
                      </c:ext>
                    </c:extLst>
                    <c:strCache>
                      <c:ptCount val="1"/>
                      <c:pt idx="0">
                        <c:v>Facilities Subtotal</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'Data Details'!$E$94:$F$94</c15:sqref>
                        </c15:formulaRef>
                      </c:ext>
                    </c:extLst>
                    <c:strCache>
                      <c:ptCount val="2"/>
                      <c:pt idx="0">
                        <c:v>Current
Policy</c:v>
                      </c:pt>
                      <c:pt idx="1">
                        <c:v>Revised
Policy</c:v>
                      </c:pt>
                    </c:strCache>
                  </c:strRef>
                </c:cat>
                <c:val>
                  <c:numRef>
                    <c:extLst xmlns:c15="http://schemas.microsoft.com/office/drawing/2012/chart">
                      <c:ext xmlns:c15="http://schemas.microsoft.com/office/drawing/2012/chart" uri="{02D57815-91ED-43cb-92C2-25804820EDAC}">
                        <c15:formulaRef>
                          <c15:sqref>'Data Details'!$E$98:$F$98</c15:sqref>
                        </c15:formulaRef>
                      </c:ext>
                    </c:extLst>
                    <c:numCache>
                      <c:formatCode>0.0%</c:formatCode>
                      <c:ptCount val="2"/>
                      <c:pt idx="0">
                        <c:v>9.9682814392050803E-2</c:v>
                      </c:pt>
                      <c:pt idx="1">
                        <c:v>9.9682814392050803E-2</c:v>
                      </c:pt>
                    </c:numCache>
                  </c:numRef>
                </c:val>
                <c:extLst xmlns:c15="http://schemas.microsoft.com/office/drawing/2012/chart">
                  <c:ext xmlns:c16="http://schemas.microsoft.com/office/drawing/2014/chart" uri="{C3380CC4-5D6E-409C-BE32-E72D297353CC}">
                    <c16:uniqueId val="{00000001-9592-4FF6-8A30-C52FA36A585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'Data Details'!$C$99</c15:sqref>
                        </c15:formulaRef>
                      </c:ext>
                    </c:extLst>
                    <c:strCache>
                      <c:ptCount val="1"/>
                      <c:pt idx="0">
                        <c:v>Financing Total</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'Data Details'!$E$94:$F$94</c15:sqref>
                        </c15:formulaRef>
                      </c:ext>
                    </c:extLst>
                    <c:strCache>
                      <c:ptCount val="2"/>
                      <c:pt idx="0">
                        <c:v>Current
Policy</c:v>
                      </c:pt>
                      <c:pt idx="1">
                        <c:v>Revised
Policy</c:v>
                      </c:pt>
                    </c:strCache>
                  </c:strRef>
                </c:cat>
                <c:val>
                  <c:numRef>
                    <c:extLst xmlns:c15="http://schemas.microsoft.com/office/drawing/2012/chart">
                      <c:ext xmlns:c15="http://schemas.microsoft.com/office/drawing/2012/chart" uri="{02D57815-91ED-43cb-92C2-25804820EDAC}">
                        <c15:formulaRef>
                          <c15:sqref>'Data Details'!$E$99:$F$99</c15:sqref>
                        </c15:formulaRef>
                      </c:ext>
                    </c:extLst>
                    <c:numCache>
                      <c:formatCode>0.0%</c:formatCode>
                      <c:ptCount val="2"/>
                      <c:pt idx="0">
                        <c:v>1.3558753021013023E-2</c:v>
                      </c:pt>
                      <c:pt idx="1">
                        <c:v>1.3558753021013023E-2</c:v>
                      </c:pt>
                    </c:numCache>
                  </c:numRef>
                </c:val>
                <c:extLst xmlns:c15="http://schemas.microsoft.com/office/drawing/2012/chart">
                  <c:ext xmlns:c16="http://schemas.microsoft.com/office/drawing/2014/chart" uri="{C3380CC4-5D6E-409C-BE32-E72D297353CC}">
                    <c16:uniqueId val="{00000002-9592-4FF6-8A30-C52FA36A5854}"/>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'Data Details'!$C$100</c15:sqref>
                        </c15:formulaRef>
                      </c:ext>
                    </c:extLst>
                    <c:strCache>
                      <c:ptCount val="1"/>
                      <c:pt idx="0">
                        <c:v>Facility Gap Funding Amount</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'Data Details'!$E$94:$F$94</c15:sqref>
                        </c15:formulaRef>
                      </c:ext>
                    </c:extLst>
                    <c:strCache>
                      <c:ptCount val="2"/>
                      <c:pt idx="0">
                        <c:v>Current
Policy</c:v>
                      </c:pt>
                      <c:pt idx="1">
                        <c:v>Revised
Policy</c:v>
                      </c:pt>
                    </c:strCache>
                  </c:strRef>
                </c:cat>
                <c:val>
                  <c:numRef>
                    <c:extLst xmlns:c15="http://schemas.microsoft.com/office/drawing/2012/chart">
                      <c:ext xmlns:c15="http://schemas.microsoft.com/office/drawing/2012/chart" uri="{02D57815-91ED-43cb-92C2-25804820EDAC}">
                        <c15:formulaRef>
                          <c15:sqref>'Data Details'!$E$100:$F$100</c15:sqref>
                        </c15:formulaRef>
                      </c:ext>
                    </c:extLst>
                    <c:numCache>
                      <c:formatCode>"$"#,##0</c:formatCode>
                      <c:ptCount val="2"/>
                      <c:pt idx="0">
                        <c:v>76096386.602397159</c:v>
                      </c:pt>
                      <c:pt idx="1">
                        <c:v>76096386.602397159</c:v>
                      </c:pt>
                    </c:numCache>
                  </c:numRef>
                </c:val>
                <c:extLst xmlns:c15="http://schemas.microsoft.com/office/drawing/2012/chart">
                  <c:ext xmlns:c16="http://schemas.microsoft.com/office/drawing/2014/chart" uri="{C3380CC4-5D6E-409C-BE32-E72D297353CC}">
                    <c16:uniqueId val="{00000004-9592-4FF6-8A30-C52FA36A5854}"/>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'Data Details'!$C$102</c15:sqref>
                        </c15:formulaRef>
                      </c:ext>
                    </c:extLst>
                    <c:strCache>
                      <c:ptCount val="1"/>
                      <c:pt idx="0">
                        <c:v>Number of Additional Teachers Hired</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'Data Details'!$E$94:$F$94</c15:sqref>
                        </c15:formulaRef>
                      </c:ext>
                    </c:extLst>
                    <c:strCache>
                      <c:ptCount val="2"/>
                      <c:pt idx="0">
                        <c:v>Current
Policy</c:v>
                      </c:pt>
                      <c:pt idx="1">
                        <c:v>Revised
Policy</c:v>
                      </c:pt>
                    </c:strCache>
                  </c:strRef>
                </c:cat>
                <c:val>
                  <c:numRef>
                    <c:extLst xmlns:c15="http://schemas.microsoft.com/office/drawing/2012/chart">
                      <c:ext xmlns:c15="http://schemas.microsoft.com/office/drawing/2012/chart" uri="{02D57815-91ED-43cb-92C2-25804820EDAC}">
                        <c15:formulaRef>
                          <c15:sqref>'Data Details'!$E$102:$F$102</c15:sqref>
                        </c15:formulaRef>
                      </c:ext>
                    </c:extLst>
                    <c:numCache>
                      <c:formatCode>0</c:formatCode>
                      <c:ptCount val="2"/>
                      <c:pt idx="0">
                        <c:v>11.393390472037728</c:v>
                      </c:pt>
                      <c:pt idx="1">
                        <c:v>11.393390472037728</c:v>
                      </c:pt>
                    </c:numCache>
                  </c:numRef>
                </c:val>
                <c:extLst xmlns:c15="http://schemas.microsoft.com/office/drawing/2012/chart">
                  <c:ext xmlns:c16="http://schemas.microsoft.com/office/drawing/2014/chart" uri="{C3380CC4-5D6E-409C-BE32-E72D297353CC}">
                    <c16:uniqueId val="{00000006-9592-4FF6-8A30-C52FA36A5854}"/>
                  </c:ext>
                </c:extLst>
              </c15:ser>
            </c15:filteredBarSeries>
          </c:ext>
        </c:extLst>
      </c:barChart>
      <c:catAx>
        <c:axId val="35790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n-US"/>
          </a:p>
        </c:txPr>
        <c:crossAx val="1924406016"/>
        <c:crosses val="autoZero"/>
        <c:auto val="1"/>
        <c:lblAlgn val="ctr"/>
        <c:lblOffset val="100"/>
        <c:noMultiLvlLbl val="0"/>
      </c:catAx>
      <c:valAx>
        <c:axId val="192440601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dk1"/>
                </a:solidFill>
                <a:latin typeface="+mn-lt"/>
                <a:ea typeface="+mn-ea"/>
                <a:cs typeface="+mn-cs"/>
              </a:defRPr>
            </a:pPr>
            <a:endParaRPr lang="en-US"/>
          </a:p>
        </c:txPr>
        <c:crossAx val="357905120"/>
        <c:crosses val="autoZero"/>
        <c:crossBetween val="between"/>
        <c:majorUnit val="5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sz="1400">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dk1"/>
                </a:solidFill>
                <a:latin typeface="+mn-lt"/>
                <a:ea typeface="+mn-ea"/>
                <a:cs typeface="+mn-cs"/>
              </a:defRPr>
            </a:pPr>
            <a:r>
              <a:rPr lang="en-US" b="1" baseline="0"/>
              <a:t>Teachers That An Average-Sized Charter School Cannot Hire Because Its Facility Needs Are Not Fully Met</a:t>
            </a:r>
            <a:endParaRPr lang="en-US" b="1"/>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'Facility Index Tool'!$C$21</c:f>
              <c:strCache>
                <c:ptCount val="1"/>
                <c:pt idx="0">
                  <c:v>Teachers that an average-sized charter school cannot hire because its facility are not needs fully met</c:v>
                </c:pt>
              </c:strCache>
            </c:strRef>
          </c:tx>
          <c:spPr>
            <a:solidFill>
              <a:schemeClr val="accent1"/>
            </a:solidFill>
            <a:ln>
              <a:solidFill>
                <a:schemeClr val="tx1"/>
              </a:solidFill>
            </a:ln>
            <a:effectLst/>
          </c:spPr>
          <c:invertIfNegative val="0"/>
          <c:dPt>
            <c:idx val="0"/>
            <c:invertIfNegative val="0"/>
            <c:bubble3D val="0"/>
            <c:spPr>
              <a:solidFill>
                <a:schemeClr val="accent5">
                  <a:lumMod val="60000"/>
                  <a:lumOff val="40000"/>
                </a:schemeClr>
              </a:solidFill>
              <a:ln>
                <a:solidFill>
                  <a:schemeClr val="tx1"/>
                </a:solidFill>
              </a:ln>
              <a:effectLst/>
            </c:spPr>
            <c:extLst>
              <c:ext xmlns:c16="http://schemas.microsoft.com/office/drawing/2014/chart" uri="{C3380CC4-5D6E-409C-BE32-E72D297353CC}">
                <c16:uniqueId val="{0000000B-FD42-4A02-8835-1618417C6FF4}"/>
              </c:ext>
            </c:extLst>
          </c:dPt>
          <c:dPt>
            <c:idx val="1"/>
            <c:invertIfNegative val="0"/>
            <c:bubble3D val="0"/>
            <c:spPr>
              <a:solidFill>
                <a:srgbClr val="002060"/>
              </a:solidFill>
              <a:ln>
                <a:solidFill>
                  <a:schemeClr val="tx1"/>
                </a:solidFill>
              </a:ln>
              <a:effectLst/>
            </c:spPr>
            <c:extLst>
              <c:ext xmlns:c16="http://schemas.microsoft.com/office/drawing/2014/chart" uri="{C3380CC4-5D6E-409C-BE32-E72D297353CC}">
                <c16:uniqueId val="{0000000C-FD42-4A02-8835-1618417C6FF4}"/>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'Facility Index Tool'!$D$15:$E$15</c:f>
              <c:strCache>
                <c:ptCount val="2"/>
                <c:pt idx="0">
                  <c:v> Current
(FY 2020)</c:v>
                </c:pt>
                <c:pt idx="1">
                  <c:v>Projected
(FY 2025)</c:v>
                </c:pt>
              </c:strCache>
            </c:strRef>
          </c:cat>
          <c:val>
            <c:numRef>
              <c:f>'Facility Index Tool'!$D$21:$E$21</c:f>
              <c:numCache>
                <c:formatCode>0</c:formatCode>
                <c:ptCount val="2"/>
                <c:pt idx="0">
                  <c:v>8.411955124695254</c:v>
                </c:pt>
                <c:pt idx="1">
                  <c:v>11.393390472037728</c:v>
                </c:pt>
              </c:numCache>
            </c:numRef>
          </c:val>
          <c:extLst xmlns:c15="http://schemas.microsoft.com/office/drawing/2012/chart">
            <c:ext xmlns:c16="http://schemas.microsoft.com/office/drawing/2014/chart" uri="{C3380CC4-5D6E-409C-BE32-E72D297353CC}">
              <c16:uniqueId val="{00000005-FD42-4A02-8835-1618417C6FF4}"/>
            </c:ext>
          </c:extLst>
        </c:ser>
        <c:dLbls>
          <c:dLblPos val="outEnd"/>
          <c:showLegendKey val="0"/>
          <c:showVal val="1"/>
          <c:showCatName val="0"/>
          <c:showSerName val="0"/>
          <c:showPercent val="0"/>
          <c:showBubbleSize val="0"/>
        </c:dLbls>
        <c:gapWidth val="67"/>
        <c:overlap val="-27"/>
        <c:axId val="357905120"/>
        <c:axId val="1924406016"/>
        <c:extLst/>
      </c:barChart>
      <c:catAx>
        <c:axId val="35790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n-US"/>
          </a:p>
        </c:txPr>
        <c:crossAx val="1924406016"/>
        <c:crosses val="autoZero"/>
        <c:auto val="1"/>
        <c:lblAlgn val="ctr"/>
        <c:lblOffset val="100"/>
        <c:noMultiLvlLbl val="0"/>
      </c:catAx>
      <c:valAx>
        <c:axId val="19244060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dk1"/>
                </a:solidFill>
                <a:latin typeface="+mn-lt"/>
                <a:ea typeface="+mn-ea"/>
                <a:cs typeface="+mn-cs"/>
              </a:defRPr>
            </a:pPr>
            <a:endParaRPr lang="en-US"/>
          </a:p>
        </c:txPr>
        <c:crossAx val="357905120"/>
        <c:crosses val="autoZero"/>
        <c:crossBetween val="between"/>
        <c:majorUnit val="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sz="1400">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sng" strike="noStrike" kern="1200" spc="0" baseline="0">
                <a:solidFill>
                  <a:schemeClr val="tx1">
                    <a:lumMod val="65000"/>
                    <a:lumOff val="35000"/>
                  </a:schemeClr>
                </a:solidFill>
                <a:latin typeface="+mn-lt"/>
                <a:ea typeface="+mn-ea"/>
                <a:cs typeface="+mn-cs"/>
              </a:defRPr>
            </a:pPr>
            <a:r>
              <a:rPr lang="en-US" sz="2800" b="1" u="sng"/>
              <a:t>Indiana  Charter</a:t>
            </a:r>
            <a:r>
              <a:rPr lang="en-US" sz="2800" b="1" u="sng" baseline="0"/>
              <a:t> School Facility Index</a:t>
            </a:r>
            <a:endParaRPr lang="en-US" sz="2800" b="1" u="sng"/>
          </a:p>
        </c:rich>
      </c:tx>
      <c:overlay val="0"/>
      <c:spPr>
        <a:noFill/>
        <a:ln>
          <a:noFill/>
        </a:ln>
        <a:effectLst/>
      </c:spPr>
      <c:txPr>
        <a:bodyPr rot="0" spcFirstLastPara="1" vertOverflow="ellipsis" vert="horz" wrap="square" anchor="ctr" anchorCtr="1"/>
        <a:lstStyle/>
        <a:p>
          <a:pPr>
            <a:defRPr sz="2800" b="1" i="0" u="sng"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706145583968929"/>
          <c:y val="0.11986549513578242"/>
          <c:w val="0.85854478571332948"/>
          <c:h val="0.67988786176545757"/>
        </c:manualLayout>
      </c:layout>
      <c:barChart>
        <c:barDir val="col"/>
        <c:grouping val="stacked"/>
        <c:varyColors val="0"/>
        <c:ser>
          <c:idx val="0"/>
          <c:order val="0"/>
          <c:tx>
            <c:strRef>
              <c:f>Analysis!$Y$28</c:f>
              <c:strCache>
                <c:ptCount val="1"/>
                <c:pt idx="0">
                  <c:v>Funding</c:v>
                </c:pt>
              </c:strCache>
            </c:strRef>
          </c:tx>
          <c:spPr>
            <a:solidFill>
              <a:schemeClr val="accent1">
                <a:lumMod val="75000"/>
              </a:schemeClr>
            </a:solidFill>
            <a:ln>
              <a:solidFill>
                <a:schemeClr val="tx1">
                  <a:lumMod val="95000"/>
                  <a:lumOff val="5000"/>
                </a:schemeClr>
              </a:solidFill>
            </a:ln>
            <a:effectLst/>
          </c:spPr>
          <c:invertIfNegative val="0"/>
          <c:cat>
            <c:strRef>
              <c:f>Analysis!$Z$47:$AA$47</c:f>
              <c:strCache>
                <c:ptCount val="2"/>
                <c:pt idx="0">
                  <c:v>Existing Need</c:v>
                </c:pt>
                <c:pt idx="1">
                  <c:v>Projected</c:v>
                </c:pt>
              </c:strCache>
            </c:strRef>
          </c:cat>
          <c:val>
            <c:numRef>
              <c:f>Analysis!$Z$28:$AA$28</c:f>
              <c:numCache>
                <c:formatCode>0.0%</c:formatCode>
                <c:ptCount val="2"/>
                <c:pt idx="0">
                  <c:v>0.30724602920693422</c:v>
                </c:pt>
                <c:pt idx="1">
                  <c:v>0.24440464823899297</c:v>
                </c:pt>
              </c:numCache>
            </c:numRef>
          </c:val>
          <c:extLst>
            <c:ext xmlns:c16="http://schemas.microsoft.com/office/drawing/2014/chart" uri="{C3380CC4-5D6E-409C-BE32-E72D297353CC}">
              <c16:uniqueId val="{00000000-2550-4702-AFFB-6917D486014C}"/>
            </c:ext>
          </c:extLst>
        </c:ser>
        <c:ser>
          <c:idx val="1"/>
          <c:order val="1"/>
          <c:tx>
            <c:strRef>
              <c:f>Analysis!$Y$29</c:f>
              <c:strCache>
                <c:ptCount val="1"/>
                <c:pt idx="0">
                  <c:v>Facilities</c:v>
                </c:pt>
              </c:strCache>
            </c:strRef>
          </c:tx>
          <c:spPr>
            <a:solidFill>
              <a:srgbClr val="FF0000"/>
            </a:solidFill>
            <a:ln>
              <a:noFill/>
            </a:ln>
            <a:effectLst/>
          </c:spPr>
          <c:invertIfNegative val="0"/>
          <c:cat>
            <c:strRef>
              <c:f>Analysis!$Z$47:$AA$47</c:f>
              <c:strCache>
                <c:ptCount val="2"/>
                <c:pt idx="0">
                  <c:v>Existing Need</c:v>
                </c:pt>
                <c:pt idx="1">
                  <c:v>Projected</c:v>
                </c:pt>
              </c:strCache>
            </c:strRef>
          </c:cat>
          <c:val>
            <c:numRef>
              <c:f>Analysis!$Z$29:$AA$29</c:f>
              <c:numCache>
                <c:formatCode>0.0%</c:formatCode>
                <c:ptCount val="2"/>
                <c:pt idx="0">
                  <c:v>6.8027210884353734E-2</c:v>
                </c:pt>
                <c:pt idx="1">
                  <c:v>9.9682814392050803E-2</c:v>
                </c:pt>
              </c:numCache>
            </c:numRef>
          </c:val>
          <c:extLst>
            <c:ext xmlns:c16="http://schemas.microsoft.com/office/drawing/2014/chart" uri="{C3380CC4-5D6E-409C-BE32-E72D297353CC}">
              <c16:uniqueId val="{00000001-2550-4702-AFFB-6917D486014C}"/>
            </c:ext>
          </c:extLst>
        </c:ser>
        <c:ser>
          <c:idx val="2"/>
          <c:order val="2"/>
          <c:tx>
            <c:strRef>
              <c:f>Analysis!$Y$30</c:f>
              <c:strCache>
                <c:ptCount val="1"/>
                <c:pt idx="0">
                  <c:v>Financing</c:v>
                </c:pt>
              </c:strCache>
            </c:strRef>
          </c:tx>
          <c:spPr>
            <a:solidFill>
              <a:schemeClr val="accent6">
                <a:lumMod val="75000"/>
              </a:schemeClr>
            </a:solidFill>
            <a:ln>
              <a:noFill/>
            </a:ln>
            <a:effectLst/>
          </c:spPr>
          <c:invertIfNegative val="0"/>
          <c:cat>
            <c:strRef>
              <c:f>Analysis!$Z$47:$AA$47</c:f>
              <c:strCache>
                <c:ptCount val="2"/>
                <c:pt idx="0">
                  <c:v>Existing Need</c:v>
                </c:pt>
                <c:pt idx="1">
                  <c:v>Projected</c:v>
                </c:pt>
              </c:strCache>
            </c:strRef>
          </c:cat>
          <c:val>
            <c:numRef>
              <c:f>Analysis!$Z$30:$AA$30</c:f>
              <c:numCache>
                <c:formatCode>0.0%</c:formatCode>
                <c:ptCount val="2"/>
                <c:pt idx="0">
                  <c:v>2.3333796449890719E-2</c:v>
                </c:pt>
                <c:pt idx="1">
                  <c:v>1.3558753021013023E-2</c:v>
                </c:pt>
              </c:numCache>
            </c:numRef>
          </c:val>
          <c:extLst>
            <c:ext xmlns:c16="http://schemas.microsoft.com/office/drawing/2014/chart" uri="{C3380CC4-5D6E-409C-BE32-E72D297353CC}">
              <c16:uniqueId val="{00000002-2550-4702-AFFB-6917D486014C}"/>
            </c:ext>
          </c:extLst>
        </c:ser>
        <c:dLbls>
          <c:showLegendKey val="0"/>
          <c:showVal val="0"/>
          <c:showCatName val="0"/>
          <c:showSerName val="0"/>
          <c:showPercent val="0"/>
          <c:showBubbleSize val="0"/>
        </c:dLbls>
        <c:gapWidth val="45"/>
        <c:overlap val="100"/>
        <c:axId val="669119632"/>
        <c:axId val="669113728"/>
      </c:barChart>
      <c:barChart>
        <c:barDir val="col"/>
        <c:grouping val="stacked"/>
        <c:varyColors val="0"/>
        <c:ser>
          <c:idx val="3"/>
          <c:order val="3"/>
          <c:tx>
            <c:strRef>
              <c:f>Analysis!$Y$31</c:f>
              <c:strCache>
                <c:ptCount val="1"/>
                <c:pt idx="0">
                  <c:v>Total</c:v>
                </c:pt>
              </c:strCache>
            </c:strRef>
          </c:tx>
          <c:spPr>
            <a:noFill/>
            <a:ln w="38100">
              <a:solidFill>
                <a:schemeClr val="tx1"/>
              </a:solidFill>
            </a:ln>
            <a:effectLst/>
          </c:spPr>
          <c:invertIfNegative val="0"/>
          <c:dLbls>
            <c:dLbl>
              <c:idx val="0"/>
              <c:layout>
                <c:manualLayout>
                  <c:x val="-8.7936342000977073E-3"/>
                  <c:y val="-0.2612208732445073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550-4702-AFFB-6917D486014C}"/>
                </c:ext>
              </c:extLst>
            </c:dLbl>
            <c:dLbl>
              <c:idx val="1"/>
              <c:layout>
                <c:manualLayout>
                  <c:x val="1.4657211111273969E-3"/>
                  <c:y val="-0.2225235459759550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550-4702-AFFB-6917D486014C}"/>
                </c:ext>
              </c:extLst>
            </c:dLbl>
            <c:spPr>
              <a:noFill/>
              <a:ln>
                <a:noFill/>
              </a:ln>
              <a:effectLst/>
            </c:spPr>
            <c:txPr>
              <a:bodyPr rot="0" spcFirstLastPara="1" vertOverflow="ellipsis" vert="horz" wrap="square" lIns="38100" tIns="19050" rIns="38100" bIns="19050" anchor="ctr" anchorCtr="1">
                <a:spAutoFit/>
              </a:bodyPr>
              <a:lstStyle/>
              <a:p>
                <a:pPr>
                  <a:defRPr sz="320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Analysis!$Z$31:$AA$31</c:f>
              <c:numCache>
                <c:formatCode>0.0%</c:formatCode>
                <c:ptCount val="2"/>
                <c:pt idx="0">
                  <c:v>0.39860703654117863</c:v>
                </c:pt>
                <c:pt idx="1">
                  <c:v>0.35764621565205679</c:v>
                </c:pt>
              </c:numCache>
            </c:numRef>
          </c:val>
          <c:extLst>
            <c:ext xmlns:c16="http://schemas.microsoft.com/office/drawing/2014/chart" uri="{C3380CC4-5D6E-409C-BE32-E72D297353CC}">
              <c16:uniqueId val="{00000005-2550-4702-AFFB-6917D486014C}"/>
            </c:ext>
          </c:extLst>
        </c:ser>
        <c:dLbls>
          <c:showLegendKey val="0"/>
          <c:showVal val="0"/>
          <c:showCatName val="0"/>
          <c:showSerName val="0"/>
          <c:showPercent val="0"/>
          <c:showBubbleSize val="0"/>
        </c:dLbls>
        <c:gapWidth val="45"/>
        <c:overlap val="100"/>
        <c:axId val="681118760"/>
        <c:axId val="681115152"/>
      </c:barChart>
      <c:catAx>
        <c:axId val="66911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en-US"/>
          </a:p>
        </c:txPr>
        <c:crossAx val="669113728"/>
        <c:crosses val="autoZero"/>
        <c:auto val="1"/>
        <c:lblAlgn val="ctr"/>
        <c:lblOffset val="100"/>
        <c:noMultiLvlLbl val="0"/>
      </c:catAx>
      <c:valAx>
        <c:axId val="66911372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n-US"/>
          </a:p>
        </c:txPr>
        <c:crossAx val="669119632"/>
        <c:crosses val="autoZero"/>
        <c:crossBetween val="between"/>
      </c:valAx>
      <c:valAx>
        <c:axId val="681115152"/>
        <c:scaling>
          <c:orientation val="minMax"/>
        </c:scaling>
        <c:delete val="1"/>
        <c:axPos val="r"/>
        <c:numFmt formatCode="0.0%" sourceLinked="1"/>
        <c:majorTickMark val="out"/>
        <c:minorTickMark val="none"/>
        <c:tickLblPos val="nextTo"/>
        <c:crossAx val="681118760"/>
        <c:crosses val="max"/>
        <c:crossBetween val="between"/>
      </c:valAx>
      <c:catAx>
        <c:axId val="681118760"/>
        <c:scaling>
          <c:orientation val="minMax"/>
        </c:scaling>
        <c:delete val="1"/>
        <c:axPos val="b"/>
        <c:numFmt formatCode="General" sourceLinked="1"/>
        <c:majorTickMark val="out"/>
        <c:minorTickMark val="none"/>
        <c:tickLblPos val="nextTo"/>
        <c:crossAx val="681115152"/>
        <c:crosses val="autoZero"/>
        <c:auto val="1"/>
        <c:lblAlgn val="ctr"/>
        <c:lblOffset val="100"/>
        <c:noMultiLvlLbl val="0"/>
      </c:catAx>
      <c:spPr>
        <a:noFill/>
        <a:ln>
          <a:noFill/>
        </a:ln>
        <a:effectLst/>
      </c:spPr>
    </c:plotArea>
    <c:legend>
      <c:legendPos val="b"/>
      <c:legendEntry>
        <c:idx val="3"/>
        <c:delete val="1"/>
      </c:legendEntry>
      <c:overlay val="0"/>
      <c:spPr>
        <a:noFill/>
        <a:ln>
          <a:solidFill>
            <a:schemeClr val="tx1"/>
          </a:solidFill>
        </a:ln>
        <a:effectLst/>
      </c:spPr>
      <c:txPr>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sng" strike="noStrike" kern="1200" spc="0" baseline="0">
                <a:solidFill>
                  <a:schemeClr val="tx1">
                    <a:lumMod val="65000"/>
                    <a:lumOff val="35000"/>
                  </a:schemeClr>
                </a:solidFill>
                <a:latin typeface="+mn-lt"/>
                <a:ea typeface="+mn-ea"/>
                <a:cs typeface="+mn-cs"/>
              </a:defRPr>
            </a:pPr>
            <a:r>
              <a:rPr lang="en-US" sz="2800" b="1" u="sng"/>
              <a:t>Indiana  Charter</a:t>
            </a:r>
            <a:r>
              <a:rPr lang="en-US" sz="2800" b="1" u="sng" baseline="0"/>
              <a:t> School Facility Index</a:t>
            </a:r>
            <a:endParaRPr lang="en-US" sz="2800" b="1" u="sng"/>
          </a:p>
        </c:rich>
      </c:tx>
      <c:overlay val="0"/>
      <c:spPr>
        <a:noFill/>
        <a:ln>
          <a:noFill/>
        </a:ln>
        <a:effectLst/>
      </c:spPr>
      <c:txPr>
        <a:bodyPr rot="0" spcFirstLastPara="1" vertOverflow="ellipsis" vert="horz" wrap="square" anchor="ctr" anchorCtr="1"/>
        <a:lstStyle/>
        <a:p>
          <a:pPr>
            <a:defRPr sz="2800" b="1" i="0" u="sng"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706145583968929"/>
          <c:y val="0.11986549513578242"/>
          <c:w val="0.85854478571332948"/>
          <c:h val="0.67988786176545757"/>
        </c:manualLayout>
      </c:layout>
      <c:barChart>
        <c:barDir val="col"/>
        <c:grouping val="stacked"/>
        <c:varyColors val="0"/>
        <c:ser>
          <c:idx val="0"/>
          <c:order val="0"/>
          <c:tx>
            <c:strRef>
              <c:f>Analysis!$Y$48</c:f>
              <c:strCache>
                <c:ptCount val="1"/>
                <c:pt idx="0">
                  <c:v>Funding</c:v>
                </c:pt>
              </c:strCache>
            </c:strRef>
          </c:tx>
          <c:spPr>
            <a:solidFill>
              <a:schemeClr val="accent1">
                <a:lumMod val="75000"/>
              </a:schemeClr>
            </a:solidFill>
            <a:ln>
              <a:noFill/>
            </a:ln>
            <a:effectLst/>
          </c:spPr>
          <c:invertIfNegative val="0"/>
          <c:cat>
            <c:strRef>
              <c:f>(Analysis!$AA$47,Analysis!$AC$47)</c:f>
              <c:strCache>
                <c:ptCount val="2"/>
                <c:pt idx="0">
                  <c:v>Projected</c:v>
                </c:pt>
                <c:pt idx="1">
                  <c:v>Revised
Policy</c:v>
                </c:pt>
              </c:strCache>
            </c:strRef>
          </c:cat>
          <c:val>
            <c:numRef>
              <c:f>(Analysis!$AA$48,Analysis!$AC$48)</c:f>
              <c:numCache>
                <c:formatCode>0.0%</c:formatCode>
                <c:ptCount val="2"/>
                <c:pt idx="0">
                  <c:v>0.24440464823899297</c:v>
                </c:pt>
                <c:pt idx="1">
                  <c:v>0.24440464823899297</c:v>
                </c:pt>
              </c:numCache>
            </c:numRef>
          </c:val>
          <c:extLst>
            <c:ext xmlns:c16="http://schemas.microsoft.com/office/drawing/2014/chart" uri="{C3380CC4-5D6E-409C-BE32-E72D297353CC}">
              <c16:uniqueId val="{00000000-7D48-4E8F-BCA7-319B51EDEF32}"/>
            </c:ext>
          </c:extLst>
        </c:ser>
        <c:ser>
          <c:idx val="1"/>
          <c:order val="1"/>
          <c:tx>
            <c:strRef>
              <c:f>Analysis!$Y$49</c:f>
              <c:strCache>
                <c:ptCount val="1"/>
                <c:pt idx="0">
                  <c:v>Facilities</c:v>
                </c:pt>
              </c:strCache>
            </c:strRef>
          </c:tx>
          <c:spPr>
            <a:solidFill>
              <a:srgbClr val="FF0000"/>
            </a:solidFill>
            <a:ln>
              <a:noFill/>
            </a:ln>
            <a:effectLst/>
          </c:spPr>
          <c:invertIfNegative val="0"/>
          <c:cat>
            <c:strRef>
              <c:f>(Analysis!$AA$47,Analysis!$AC$47)</c:f>
              <c:strCache>
                <c:ptCount val="2"/>
                <c:pt idx="0">
                  <c:v>Projected</c:v>
                </c:pt>
                <c:pt idx="1">
                  <c:v>Revised
Policy</c:v>
                </c:pt>
              </c:strCache>
            </c:strRef>
          </c:cat>
          <c:val>
            <c:numRef>
              <c:f>(Analysis!$AA$49,Analysis!$AC$49)</c:f>
              <c:numCache>
                <c:formatCode>0.0%</c:formatCode>
                <c:ptCount val="2"/>
                <c:pt idx="0">
                  <c:v>9.9682814392050803E-2</c:v>
                </c:pt>
                <c:pt idx="1">
                  <c:v>9.9682814392050803E-2</c:v>
                </c:pt>
              </c:numCache>
            </c:numRef>
          </c:val>
          <c:extLst>
            <c:ext xmlns:c16="http://schemas.microsoft.com/office/drawing/2014/chart" uri="{C3380CC4-5D6E-409C-BE32-E72D297353CC}">
              <c16:uniqueId val="{00000001-7D48-4E8F-BCA7-319B51EDEF32}"/>
            </c:ext>
          </c:extLst>
        </c:ser>
        <c:ser>
          <c:idx val="2"/>
          <c:order val="2"/>
          <c:tx>
            <c:strRef>
              <c:f>Analysis!$Y$50</c:f>
              <c:strCache>
                <c:ptCount val="1"/>
                <c:pt idx="0">
                  <c:v>Financing</c:v>
                </c:pt>
              </c:strCache>
            </c:strRef>
          </c:tx>
          <c:spPr>
            <a:solidFill>
              <a:srgbClr val="00B050"/>
            </a:solidFill>
            <a:ln>
              <a:noFill/>
            </a:ln>
            <a:effectLst/>
          </c:spPr>
          <c:invertIfNegative val="0"/>
          <c:cat>
            <c:strRef>
              <c:f>(Analysis!$AA$47,Analysis!$AC$47)</c:f>
              <c:strCache>
                <c:ptCount val="2"/>
                <c:pt idx="0">
                  <c:v>Projected</c:v>
                </c:pt>
                <c:pt idx="1">
                  <c:v>Revised
Policy</c:v>
                </c:pt>
              </c:strCache>
            </c:strRef>
          </c:cat>
          <c:val>
            <c:numRef>
              <c:f>(Analysis!$AA$50,Analysis!$AC$50)</c:f>
              <c:numCache>
                <c:formatCode>0.0%</c:formatCode>
                <c:ptCount val="2"/>
                <c:pt idx="0">
                  <c:v>1.3558753021013023E-2</c:v>
                </c:pt>
                <c:pt idx="1">
                  <c:v>1.3558753021013023E-2</c:v>
                </c:pt>
              </c:numCache>
            </c:numRef>
          </c:val>
          <c:extLst>
            <c:ext xmlns:c16="http://schemas.microsoft.com/office/drawing/2014/chart" uri="{C3380CC4-5D6E-409C-BE32-E72D297353CC}">
              <c16:uniqueId val="{00000002-7D48-4E8F-BCA7-319B51EDEF32}"/>
            </c:ext>
          </c:extLst>
        </c:ser>
        <c:dLbls>
          <c:showLegendKey val="0"/>
          <c:showVal val="0"/>
          <c:showCatName val="0"/>
          <c:showSerName val="0"/>
          <c:showPercent val="0"/>
          <c:showBubbleSize val="0"/>
        </c:dLbls>
        <c:gapWidth val="45"/>
        <c:overlap val="100"/>
        <c:axId val="669119632"/>
        <c:axId val="669113728"/>
      </c:barChart>
      <c:barChart>
        <c:barDir val="col"/>
        <c:grouping val="stacked"/>
        <c:varyColors val="0"/>
        <c:ser>
          <c:idx val="3"/>
          <c:order val="3"/>
          <c:spPr>
            <a:noFill/>
            <a:ln w="34925">
              <a:solidFill>
                <a:schemeClr val="tx1"/>
              </a:solidFill>
            </a:ln>
            <a:effectLst/>
          </c:spPr>
          <c:invertIfNegative val="0"/>
          <c:dLbls>
            <c:dLbl>
              <c:idx val="0"/>
              <c:layout>
                <c:manualLayout>
                  <c:x val="1.1725768889019121E-2"/>
                  <c:y val="-0.2247728728475954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D48-4E8F-BCA7-319B51EDEF32}"/>
                </c:ext>
              </c:extLst>
            </c:dLbl>
            <c:dLbl>
              <c:idx val="1"/>
              <c:layout>
                <c:manualLayout>
                  <c:x val="2.9314422222547938E-3"/>
                  <c:y val="-0.2227533287493393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D48-4E8F-BCA7-319B51EDEF32}"/>
                </c:ext>
              </c:extLst>
            </c:dLbl>
            <c:spPr>
              <a:noFill/>
              <a:ln>
                <a:noFill/>
              </a:ln>
              <a:effectLst/>
            </c:spPr>
            <c:txPr>
              <a:bodyPr rot="0" spcFirstLastPara="1" vertOverflow="ellipsis" vert="horz" wrap="square" lIns="38100" tIns="19050" rIns="38100" bIns="19050" anchor="ctr" anchorCtr="1">
                <a:spAutoFit/>
              </a:bodyPr>
              <a:lstStyle/>
              <a:p>
                <a:pPr>
                  <a:defRPr sz="320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(Analysis!$AA$47,Analysis!$AC$47)</c:f>
              <c:strCache>
                <c:ptCount val="2"/>
                <c:pt idx="0">
                  <c:v>Projected</c:v>
                </c:pt>
                <c:pt idx="1">
                  <c:v>Revised
Policy</c:v>
                </c:pt>
              </c:strCache>
            </c:strRef>
          </c:cat>
          <c:val>
            <c:numRef>
              <c:f>(Analysis!$AA$51,Analysis!$AC$51)</c:f>
              <c:numCache>
                <c:formatCode>0.0%</c:formatCode>
                <c:ptCount val="2"/>
                <c:pt idx="0">
                  <c:v>0.35764621565205679</c:v>
                </c:pt>
                <c:pt idx="1">
                  <c:v>0.35764621565205679</c:v>
                </c:pt>
              </c:numCache>
            </c:numRef>
          </c:val>
          <c:extLst>
            <c:ext xmlns:c16="http://schemas.microsoft.com/office/drawing/2014/chart" uri="{C3380CC4-5D6E-409C-BE32-E72D297353CC}">
              <c16:uniqueId val="{00000010-7D48-4E8F-BCA7-319B51EDEF32}"/>
            </c:ext>
          </c:extLst>
        </c:ser>
        <c:dLbls>
          <c:showLegendKey val="0"/>
          <c:showVal val="0"/>
          <c:showCatName val="0"/>
          <c:showSerName val="0"/>
          <c:showPercent val="0"/>
          <c:showBubbleSize val="0"/>
        </c:dLbls>
        <c:gapWidth val="45"/>
        <c:overlap val="100"/>
        <c:axId val="386049344"/>
        <c:axId val="386048360"/>
      </c:barChart>
      <c:catAx>
        <c:axId val="66911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en-US"/>
          </a:p>
        </c:txPr>
        <c:crossAx val="669113728"/>
        <c:crosses val="autoZero"/>
        <c:auto val="1"/>
        <c:lblAlgn val="ctr"/>
        <c:lblOffset val="100"/>
        <c:noMultiLvlLbl val="0"/>
      </c:catAx>
      <c:valAx>
        <c:axId val="66911372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n-US"/>
          </a:p>
        </c:txPr>
        <c:crossAx val="669119632"/>
        <c:crosses val="autoZero"/>
        <c:crossBetween val="between"/>
      </c:valAx>
      <c:valAx>
        <c:axId val="386048360"/>
        <c:scaling>
          <c:orientation val="minMax"/>
          <c:max val="1"/>
        </c:scaling>
        <c:delete val="1"/>
        <c:axPos val="r"/>
        <c:numFmt formatCode="0.0%" sourceLinked="1"/>
        <c:majorTickMark val="out"/>
        <c:minorTickMark val="none"/>
        <c:tickLblPos val="nextTo"/>
        <c:crossAx val="386049344"/>
        <c:crosses val="max"/>
        <c:crossBetween val="between"/>
      </c:valAx>
      <c:catAx>
        <c:axId val="386049344"/>
        <c:scaling>
          <c:orientation val="minMax"/>
        </c:scaling>
        <c:delete val="1"/>
        <c:axPos val="b"/>
        <c:numFmt formatCode="General" sourceLinked="1"/>
        <c:majorTickMark val="out"/>
        <c:minorTickMark val="none"/>
        <c:tickLblPos val="nextTo"/>
        <c:crossAx val="386048360"/>
        <c:crosses val="autoZero"/>
        <c:auto val="1"/>
        <c:lblAlgn val="ctr"/>
        <c:lblOffset val="100"/>
        <c:noMultiLvlLbl val="0"/>
      </c:catAx>
      <c:spPr>
        <a:noFill/>
        <a:ln>
          <a:noFill/>
        </a:ln>
        <a:effectLst/>
      </c:spPr>
    </c:plotArea>
    <c:legend>
      <c:legendPos val="b"/>
      <c:legendEntry>
        <c:idx val="3"/>
        <c:delete val="1"/>
      </c:legendEntry>
      <c:overlay val="0"/>
      <c:spPr>
        <a:noFill/>
        <a:ln>
          <a:solidFill>
            <a:schemeClr val="tx1"/>
          </a:solidFill>
        </a:ln>
        <a:effectLst/>
      </c:spPr>
      <c:txPr>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'Data Details'!$C$94</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 Details'!$D$93:$E$93</c:f>
              <c:numCache>
                <c:formatCode>General</c:formatCode>
                <c:ptCount val="2"/>
              </c:numCache>
            </c:numRef>
          </c:cat>
          <c:val>
            <c:numRef>
              <c:f>'Data Details'!$E$94:$F$94</c:f>
              <c:numCache>
                <c:formatCode>General</c:formatCode>
                <c:ptCount val="2"/>
                <c:pt idx="0">
                  <c:v>0</c:v>
                </c:pt>
                <c:pt idx="1">
                  <c:v>0</c:v>
                </c:pt>
              </c:numCache>
            </c:numRef>
          </c:val>
          <c:extLst>
            <c:ext xmlns:c16="http://schemas.microsoft.com/office/drawing/2014/chart" uri="{C3380CC4-5D6E-409C-BE32-E72D297353CC}">
              <c16:uniqueId val="{00000000-3490-44E2-BAFB-136317857342}"/>
            </c:ext>
          </c:extLst>
        </c:ser>
        <c:dLbls>
          <c:showLegendKey val="0"/>
          <c:showVal val="0"/>
          <c:showCatName val="0"/>
          <c:showSerName val="0"/>
          <c:showPercent val="0"/>
          <c:showBubbleSize val="0"/>
        </c:dLbls>
        <c:gapWidth val="219"/>
        <c:overlap val="-27"/>
        <c:axId val="357905120"/>
        <c:axId val="1924406016"/>
      </c:barChart>
      <c:catAx>
        <c:axId val="35790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924406016"/>
        <c:crosses val="autoZero"/>
        <c:auto val="1"/>
        <c:lblAlgn val="ctr"/>
        <c:lblOffset val="100"/>
        <c:noMultiLvlLbl val="0"/>
      </c:catAx>
      <c:valAx>
        <c:axId val="19244060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57905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Total Need Met by Category</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1"/>
          <c:tx>
            <c:strRef>
              <c:f>'Data Details'!$C$96</c:f>
              <c:strCache>
                <c:ptCount val="1"/>
                <c:pt idx="0">
                  <c:v>Total Need Unmet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 Details'!$D$93:$E$93</c:f>
              <c:numCache>
                <c:formatCode>General</c:formatCode>
                <c:ptCount val="2"/>
              </c:numCache>
            </c:numRef>
          </c:cat>
          <c:val>
            <c:numRef>
              <c:f>'Data Details'!$E$96:$F$96</c:f>
              <c:numCache>
                <c:formatCode>0.0%</c:formatCode>
                <c:ptCount val="2"/>
                <c:pt idx="0">
                  <c:v>0.64235378434794321</c:v>
                </c:pt>
                <c:pt idx="1">
                  <c:v>0.64235378434794321</c:v>
                </c:pt>
              </c:numCache>
            </c:numRef>
          </c:val>
          <c:extLst>
            <c:ext xmlns:c16="http://schemas.microsoft.com/office/drawing/2014/chart" uri="{C3380CC4-5D6E-409C-BE32-E72D297353CC}">
              <c16:uniqueId val="{00000000-290B-422E-8C2F-D9D6E4EBA8BF}"/>
            </c:ext>
          </c:extLst>
        </c:ser>
        <c:ser>
          <c:idx val="2"/>
          <c:order val="2"/>
          <c:tx>
            <c:strRef>
              <c:f>'Data Details'!$C$97</c:f>
              <c:strCache>
                <c:ptCount val="1"/>
                <c:pt idx="0">
                  <c:v>Funding Subtotal</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 Details'!$D$93:$E$93</c:f>
              <c:numCache>
                <c:formatCode>General</c:formatCode>
                <c:ptCount val="2"/>
              </c:numCache>
            </c:numRef>
          </c:cat>
          <c:val>
            <c:numRef>
              <c:f>'Data Details'!$E$97:$F$97</c:f>
              <c:numCache>
                <c:formatCode>0.0%</c:formatCode>
                <c:ptCount val="2"/>
                <c:pt idx="0">
                  <c:v>0.24440464823899297</c:v>
                </c:pt>
                <c:pt idx="1">
                  <c:v>0.24440464823899297</c:v>
                </c:pt>
              </c:numCache>
            </c:numRef>
          </c:val>
          <c:extLst>
            <c:ext xmlns:c16="http://schemas.microsoft.com/office/drawing/2014/chart" uri="{C3380CC4-5D6E-409C-BE32-E72D297353CC}">
              <c16:uniqueId val="{00000001-290B-422E-8C2F-D9D6E4EBA8BF}"/>
            </c:ext>
          </c:extLst>
        </c:ser>
        <c:ser>
          <c:idx val="3"/>
          <c:order val="3"/>
          <c:tx>
            <c:strRef>
              <c:f>'Data Details'!$C$98</c:f>
              <c:strCache>
                <c:ptCount val="1"/>
                <c:pt idx="0">
                  <c:v>Facilities Subtotal</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 Details'!$D$93:$E$93</c:f>
              <c:numCache>
                <c:formatCode>General</c:formatCode>
                <c:ptCount val="2"/>
              </c:numCache>
            </c:numRef>
          </c:cat>
          <c:val>
            <c:numRef>
              <c:f>'Data Details'!$E$98:$F$98</c:f>
              <c:numCache>
                <c:formatCode>0.0%</c:formatCode>
                <c:ptCount val="2"/>
                <c:pt idx="0">
                  <c:v>9.9682814392050803E-2</c:v>
                </c:pt>
                <c:pt idx="1">
                  <c:v>9.9682814392050803E-2</c:v>
                </c:pt>
              </c:numCache>
            </c:numRef>
          </c:val>
          <c:extLst>
            <c:ext xmlns:c16="http://schemas.microsoft.com/office/drawing/2014/chart" uri="{C3380CC4-5D6E-409C-BE32-E72D297353CC}">
              <c16:uniqueId val="{00000002-290B-422E-8C2F-D9D6E4EBA8BF}"/>
            </c:ext>
          </c:extLst>
        </c:ser>
        <c:dLbls>
          <c:showLegendKey val="0"/>
          <c:showVal val="0"/>
          <c:showCatName val="0"/>
          <c:showSerName val="0"/>
          <c:showPercent val="0"/>
          <c:showBubbleSize val="0"/>
        </c:dLbls>
        <c:gapWidth val="219"/>
        <c:overlap val="100"/>
        <c:axId val="357905120"/>
        <c:axId val="1924406016"/>
        <c:extLst>
          <c:ext xmlns:c15="http://schemas.microsoft.com/office/drawing/2012/chart" uri="{02D57815-91ED-43cb-92C2-25804820EDAC}">
            <c15:filteredBarSeries>
              <c15:ser>
                <c:idx val="0"/>
                <c:order val="0"/>
                <c:tx>
                  <c:strRef>
                    <c:extLst>
                      <c:ext uri="{02D57815-91ED-43cb-92C2-25804820EDAC}">
                        <c15:formulaRef>
                          <c15:sqref>'Data Details'!$C$94</c15:sqref>
                        </c15:formulaRef>
                      </c:ext>
                    </c:extLst>
                    <c:strCache>
                      <c:ptCount val="1"/>
                    </c:strCache>
                  </c:strRef>
                </c:tx>
                <c:spPr>
                  <a:solidFill>
                    <a:schemeClr val="accent1"/>
                  </a:solidFill>
                  <a:ln>
                    <a:noFill/>
                  </a:ln>
                  <a:effectLst/>
                </c:spPr>
                <c:invertIfNegative val="0"/>
                <c:cat>
                  <c:numRef>
                    <c:extLst>
                      <c:ext uri="{02D57815-91ED-43cb-92C2-25804820EDAC}">
                        <c15:formulaRef>
                          <c15:sqref>'Data Details'!$D$93:$E$93</c15:sqref>
                        </c15:formulaRef>
                      </c:ext>
                    </c:extLst>
                    <c:numCache>
                      <c:formatCode>General</c:formatCode>
                      <c:ptCount val="2"/>
                    </c:numCache>
                  </c:numRef>
                </c:cat>
                <c:val>
                  <c:numRef>
                    <c:extLst>
                      <c:ext uri="{02D57815-91ED-43cb-92C2-25804820EDAC}">
                        <c15:formulaRef>
                          <c15:sqref>'Data Details'!$E$94:$F$94</c15:sqref>
                        </c15:formulaRef>
                      </c:ext>
                    </c:extLst>
                    <c:numCache>
                      <c:formatCode>General</c:formatCode>
                      <c:ptCount val="2"/>
                      <c:pt idx="0">
                        <c:v>0</c:v>
                      </c:pt>
                      <c:pt idx="1">
                        <c:v>0</c:v>
                      </c:pt>
                    </c:numCache>
                  </c:numRef>
                </c:val>
                <c:extLst>
                  <c:ext xmlns:c16="http://schemas.microsoft.com/office/drawing/2014/chart" uri="{C3380CC4-5D6E-409C-BE32-E72D297353CC}">
                    <c16:uniqueId val="{00000003-290B-422E-8C2F-D9D6E4EBA8BF}"/>
                  </c:ext>
                </c:extLst>
              </c15:ser>
            </c15:filteredBarSeries>
          </c:ext>
        </c:extLst>
      </c:barChart>
      <c:catAx>
        <c:axId val="35790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924406016"/>
        <c:crosses val="autoZero"/>
        <c:auto val="1"/>
        <c:lblAlgn val="ctr"/>
        <c:lblOffset val="100"/>
        <c:noMultiLvlLbl val="0"/>
      </c:catAx>
      <c:valAx>
        <c:axId val="1924406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57905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'Data Details'!$C$94</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 Details'!$D$93:$E$93</c:f>
              <c:numCache>
                <c:formatCode>General</c:formatCode>
                <c:ptCount val="2"/>
              </c:numCache>
            </c:numRef>
          </c:cat>
          <c:val>
            <c:numRef>
              <c:f>'Data Details'!$E$94:$F$94</c:f>
              <c:numCache>
                <c:formatCode>General</c:formatCode>
                <c:ptCount val="2"/>
                <c:pt idx="0">
                  <c:v>0</c:v>
                </c:pt>
                <c:pt idx="1">
                  <c:v>0</c:v>
                </c:pt>
              </c:numCache>
            </c:numRef>
          </c:val>
          <c:extLst>
            <c:ext xmlns:c16="http://schemas.microsoft.com/office/drawing/2014/chart" uri="{C3380CC4-5D6E-409C-BE32-E72D297353CC}">
              <c16:uniqueId val="{00000000-7481-4409-9481-5FE932E1BAED}"/>
            </c:ext>
          </c:extLst>
        </c:ser>
        <c:dLbls>
          <c:showLegendKey val="0"/>
          <c:showVal val="0"/>
          <c:showCatName val="0"/>
          <c:showSerName val="0"/>
          <c:showPercent val="0"/>
          <c:showBubbleSize val="0"/>
        </c:dLbls>
        <c:gapWidth val="219"/>
        <c:overlap val="-27"/>
        <c:axId val="357905120"/>
        <c:axId val="1924406016"/>
      </c:barChart>
      <c:catAx>
        <c:axId val="35790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924406016"/>
        <c:crosses val="autoZero"/>
        <c:auto val="1"/>
        <c:lblAlgn val="ctr"/>
        <c:lblOffset val="100"/>
        <c:noMultiLvlLbl val="0"/>
      </c:catAx>
      <c:valAx>
        <c:axId val="19244060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57905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Total Need Met by Category</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5"/>
          <c:order val="5"/>
          <c:tx>
            <c:strRef>
              <c:f>'Data Details'!$C$100</c:f>
              <c:strCache>
                <c:ptCount val="1"/>
                <c:pt idx="0">
                  <c:v>Facility Gap Funding Amount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 Details'!$D$93:$E$93</c:f>
              <c:numCache>
                <c:formatCode>General</c:formatCode>
                <c:ptCount val="2"/>
              </c:numCache>
            </c:numRef>
          </c:cat>
          <c:val>
            <c:numRef>
              <c:f>'Data Details'!$E$100:$F$100</c:f>
              <c:numCache>
                <c:formatCode>"$"#,##0</c:formatCode>
                <c:ptCount val="2"/>
                <c:pt idx="0">
                  <c:v>76096386.602397159</c:v>
                </c:pt>
                <c:pt idx="1">
                  <c:v>76096386.602397159</c:v>
                </c:pt>
              </c:numCache>
            </c:numRef>
          </c:val>
          <c:extLst>
            <c:ext xmlns:c16="http://schemas.microsoft.com/office/drawing/2014/chart" uri="{C3380CC4-5D6E-409C-BE32-E72D297353CC}">
              <c16:uniqueId val="{00000000-FC6D-4DC0-87F1-86DAAB22B52D}"/>
            </c:ext>
          </c:extLst>
        </c:ser>
        <c:dLbls>
          <c:showLegendKey val="0"/>
          <c:showVal val="0"/>
          <c:showCatName val="0"/>
          <c:showSerName val="0"/>
          <c:showPercent val="0"/>
          <c:showBubbleSize val="0"/>
        </c:dLbls>
        <c:gapWidth val="219"/>
        <c:overlap val="100"/>
        <c:axId val="357905120"/>
        <c:axId val="1924406016"/>
        <c:extLst>
          <c:ext xmlns:c15="http://schemas.microsoft.com/office/drawing/2012/chart" uri="{02D57815-91ED-43cb-92C2-25804820EDAC}">
            <c15:filteredBarSeries>
              <c15:ser>
                <c:idx val="0"/>
                <c:order val="0"/>
                <c:tx>
                  <c:strRef>
                    <c:extLst>
                      <c:ext uri="{02D57815-91ED-43cb-92C2-25804820EDAC}">
                        <c15:formulaRef>
                          <c15:sqref>'Data Details'!$C$94</c15:sqref>
                        </c15:formulaRef>
                      </c:ext>
                    </c:extLst>
                    <c:strCache>
                      <c:ptCount val="1"/>
                    </c:strCache>
                  </c:strRef>
                </c:tx>
                <c:spPr>
                  <a:solidFill>
                    <a:schemeClr val="accent1"/>
                  </a:solidFill>
                  <a:ln>
                    <a:noFill/>
                  </a:ln>
                  <a:effectLst/>
                </c:spPr>
                <c:invertIfNegative val="0"/>
                <c:cat>
                  <c:numRef>
                    <c:extLst>
                      <c:ext uri="{02D57815-91ED-43cb-92C2-25804820EDAC}">
                        <c15:formulaRef>
                          <c15:sqref>'Data Details'!$D$93:$E$93</c15:sqref>
                        </c15:formulaRef>
                      </c:ext>
                    </c:extLst>
                    <c:numCache>
                      <c:formatCode>General</c:formatCode>
                      <c:ptCount val="2"/>
                    </c:numCache>
                  </c:numRef>
                </c:cat>
                <c:val>
                  <c:numRef>
                    <c:extLst>
                      <c:ext uri="{02D57815-91ED-43cb-92C2-25804820EDAC}">
                        <c15:formulaRef>
                          <c15:sqref>'Data Details'!$E$94:$F$94</c15:sqref>
                        </c15:formulaRef>
                      </c:ext>
                    </c:extLst>
                    <c:numCache>
                      <c:formatCode>General</c:formatCode>
                      <c:ptCount val="2"/>
                      <c:pt idx="0">
                        <c:v>0</c:v>
                      </c:pt>
                      <c:pt idx="1">
                        <c:v>0</c:v>
                      </c:pt>
                    </c:numCache>
                  </c:numRef>
                </c:val>
                <c:extLst>
                  <c:ext xmlns:c16="http://schemas.microsoft.com/office/drawing/2014/chart" uri="{C3380CC4-5D6E-409C-BE32-E72D297353CC}">
                    <c16:uniqueId val="{00000001-FC6D-4DC0-87F1-86DAAB22B52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'Data Details'!$C$96</c15:sqref>
                        </c15:formulaRef>
                      </c:ext>
                    </c:extLst>
                    <c:strCache>
                      <c:ptCount val="1"/>
                      <c:pt idx="0">
                        <c:v>Total Need Unmet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'Data Details'!$D$93:$E$93</c15:sqref>
                        </c15:formulaRef>
                      </c:ext>
                    </c:extLst>
                    <c:numCache>
                      <c:formatCode>General</c:formatCode>
                      <c:ptCount val="2"/>
                    </c:numCache>
                  </c:numRef>
                </c:cat>
                <c:val>
                  <c:numRef>
                    <c:extLst xmlns:c15="http://schemas.microsoft.com/office/drawing/2012/chart">
                      <c:ext xmlns:c15="http://schemas.microsoft.com/office/drawing/2012/chart" uri="{02D57815-91ED-43cb-92C2-25804820EDAC}">
                        <c15:formulaRef>
                          <c15:sqref>'Data Details'!$E$96:$F$96</c15:sqref>
                        </c15:formulaRef>
                      </c:ext>
                    </c:extLst>
                    <c:numCache>
                      <c:formatCode>0.0%</c:formatCode>
                      <c:ptCount val="2"/>
                      <c:pt idx="0">
                        <c:v>0.64235378434794321</c:v>
                      </c:pt>
                      <c:pt idx="1">
                        <c:v>0.64235378434794321</c:v>
                      </c:pt>
                    </c:numCache>
                  </c:numRef>
                </c:val>
                <c:extLst xmlns:c15="http://schemas.microsoft.com/office/drawing/2012/chart">
                  <c:ext xmlns:c16="http://schemas.microsoft.com/office/drawing/2014/chart" uri="{C3380CC4-5D6E-409C-BE32-E72D297353CC}">
                    <c16:uniqueId val="{00000002-FC6D-4DC0-87F1-86DAAB22B52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'Data Details'!$C$97</c15:sqref>
                        </c15:formulaRef>
                      </c:ext>
                    </c:extLst>
                    <c:strCache>
                      <c:ptCount val="1"/>
                      <c:pt idx="0">
                        <c:v>Funding Subtotal</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'Data Details'!$D$93:$E$93</c15:sqref>
                        </c15:formulaRef>
                      </c:ext>
                    </c:extLst>
                    <c:numCache>
                      <c:formatCode>General</c:formatCode>
                      <c:ptCount val="2"/>
                    </c:numCache>
                  </c:numRef>
                </c:cat>
                <c:val>
                  <c:numRef>
                    <c:extLst xmlns:c15="http://schemas.microsoft.com/office/drawing/2012/chart">
                      <c:ext xmlns:c15="http://schemas.microsoft.com/office/drawing/2012/chart" uri="{02D57815-91ED-43cb-92C2-25804820EDAC}">
                        <c15:formulaRef>
                          <c15:sqref>'Data Details'!$E$97:$F$97</c15:sqref>
                        </c15:formulaRef>
                      </c:ext>
                    </c:extLst>
                    <c:numCache>
                      <c:formatCode>0.0%</c:formatCode>
                      <c:ptCount val="2"/>
                      <c:pt idx="0">
                        <c:v>0.24440464823899297</c:v>
                      </c:pt>
                      <c:pt idx="1">
                        <c:v>0.24440464823899297</c:v>
                      </c:pt>
                    </c:numCache>
                  </c:numRef>
                </c:val>
                <c:extLst xmlns:c15="http://schemas.microsoft.com/office/drawing/2012/chart">
                  <c:ext xmlns:c16="http://schemas.microsoft.com/office/drawing/2014/chart" uri="{C3380CC4-5D6E-409C-BE32-E72D297353CC}">
                    <c16:uniqueId val="{00000003-FC6D-4DC0-87F1-86DAAB22B52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'Data Details'!$C$98</c15:sqref>
                        </c15:formulaRef>
                      </c:ext>
                    </c:extLst>
                    <c:strCache>
                      <c:ptCount val="1"/>
                      <c:pt idx="0">
                        <c:v>Facilities Subtotal</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'Data Details'!$D$93:$E$93</c15:sqref>
                        </c15:formulaRef>
                      </c:ext>
                    </c:extLst>
                    <c:numCache>
                      <c:formatCode>General</c:formatCode>
                      <c:ptCount val="2"/>
                    </c:numCache>
                  </c:numRef>
                </c:cat>
                <c:val>
                  <c:numRef>
                    <c:extLst xmlns:c15="http://schemas.microsoft.com/office/drawing/2012/chart">
                      <c:ext xmlns:c15="http://schemas.microsoft.com/office/drawing/2012/chart" uri="{02D57815-91ED-43cb-92C2-25804820EDAC}">
                        <c15:formulaRef>
                          <c15:sqref>'Data Details'!$E$98:$F$98</c15:sqref>
                        </c15:formulaRef>
                      </c:ext>
                    </c:extLst>
                    <c:numCache>
                      <c:formatCode>0.0%</c:formatCode>
                      <c:ptCount val="2"/>
                      <c:pt idx="0">
                        <c:v>9.9682814392050803E-2</c:v>
                      </c:pt>
                      <c:pt idx="1">
                        <c:v>9.9682814392050803E-2</c:v>
                      </c:pt>
                    </c:numCache>
                  </c:numRef>
                </c:val>
                <c:extLst xmlns:c15="http://schemas.microsoft.com/office/drawing/2012/chart">
                  <c:ext xmlns:c16="http://schemas.microsoft.com/office/drawing/2014/chart" uri="{C3380CC4-5D6E-409C-BE32-E72D297353CC}">
                    <c16:uniqueId val="{00000004-FC6D-4DC0-87F1-86DAAB22B52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'Data Details'!$C$99</c15:sqref>
                        </c15:formulaRef>
                      </c:ext>
                    </c:extLst>
                    <c:strCache>
                      <c:ptCount val="1"/>
                      <c:pt idx="0">
                        <c:v>Financing Total</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'Data Details'!$D$93:$E$93</c15:sqref>
                        </c15:formulaRef>
                      </c:ext>
                    </c:extLst>
                    <c:numCache>
                      <c:formatCode>General</c:formatCode>
                      <c:ptCount val="2"/>
                    </c:numCache>
                  </c:numRef>
                </c:cat>
                <c:val>
                  <c:numRef>
                    <c:extLst xmlns:c15="http://schemas.microsoft.com/office/drawing/2012/chart">
                      <c:ext xmlns:c15="http://schemas.microsoft.com/office/drawing/2012/chart" uri="{02D57815-91ED-43cb-92C2-25804820EDAC}">
                        <c15:formulaRef>
                          <c15:sqref>'Data Details'!$E$99:$F$99</c15:sqref>
                        </c15:formulaRef>
                      </c:ext>
                    </c:extLst>
                    <c:numCache>
                      <c:formatCode>0.0%</c:formatCode>
                      <c:ptCount val="2"/>
                      <c:pt idx="0">
                        <c:v>1.3558753021013023E-2</c:v>
                      </c:pt>
                      <c:pt idx="1">
                        <c:v>1.3558753021013023E-2</c:v>
                      </c:pt>
                    </c:numCache>
                  </c:numRef>
                </c:val>
                <c:extLst xmlns:c15="http://schemas.microsoft.com/office/drawing/2012/chart">
                  <c:ext xmlns:c16="http://schemas.microsoft.com/office/drawing/2014/chart" uri="{C3380CC4-5D6E-409C-BE32-E72D297353CC}">
                    <c16:uniqueId val="{00000005-FC6D-4DC0-87F1-86DAAB22B52D}"/>
                  </c:ext>
                </c:extLst>
              </c15:ser>
            </c15:filteredBarSeries>
          </c:ext>
        </c:extLst>
      </c:barChart>
      <c:catAx>
        <c:axId val="35790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924406016"/>
        <c:crosses val="autoZero"/>
        <c:auto val="1"/>
        <c:lblAlgn val="ctr"/>
        <c:lblOffset val="100"/>
        <c:noMultiLvlLbl val="0"/>
      </c:catAx>
      <c:valAx>
        <c:axId val="192440601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57905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mn-lt"/>
                <a:ea typeface="+mn-ea"/>
                <a:cs typeface="+mn-cs"/>
              </a:defRPr>
            </a:pPr>
            <a:r>
              <a:rPr lang="en-US" b="1">
                <a:solidFill>
                  <a:schemeClr val="tx1"/>
                </a:solidFill>
              </a:rPr>
              <a:t>Current</a:t>
            </a:r>
            <a:r>
              <a:rPr lang="en-US" b="1" baseline="0">
                <a:solidFill>
                  <a:schemeClr val="tx1"/>
                </a:solidFill>
              </a:rPr>
              <a:t> Policy</a:t>
            </a:r>
            <a:r>
              <a:rPr lang="en-US" b="1">
                <a:solidFill>
                  <a:schemeClr val="tx1"/>
                </a:solidFill>
              </a:rPr>
              <a:t> (FY 2025)</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tx>
            <c:strRef>
              <c:f>'Data Details'!$E$94</c:f>
              <c:strCache>
                <c:ptCount val="1"/>
                <c:pt idx="0">
                  <c:v>Current
Policy</c:v>
                </c:pt>
              </c:strCache>
            </c:strRef>
          </c:tx>
          <c:spPr>
            <a:ln>
              <a:solidFill>
                <a:schemeClr val="tx1"/>
              </a:solidFill>
            </a:ln>
          </c:spPr>
          <c:dPt>
            <c:idx val="0"/>
            <c:bubble3D val="0"/>
            <c:spPr>
              <a:solidFill>
                <a:srgbClr val="000F5D"/>
              </a:solidFill>
              <a:ln w="19050">
                <a:solidFill>
                  <a:schemeClr val="tx1"/>
                </a:solidFill>
              </a:ln>
              <a:effectLst/>
            </c:spPr>
            <c:extLst>
              <c:ext xmlns:c16="http://schemas.microsoft.com/office/drawing/2014/chart" uri="{C3380CC4-5D6E-409C-BE32-E72D297353CC}">
                <c16:uniqueId val="{00000001-0349-4BEF-97C0-F438DDAAFC31}"/>
              </c:ext>
            </c:extLst>
          </c:dPt>
          <c:dPt>
            <c:idx val="1"/>
            <c:bubble3D val="0"/>
            <c:spPr>
              <a:solidFill>
                <a:srgbClr val="FF0000"/>
              </a:solidFill>
              <a:ln w="19050">
                <a:solidFill>
                  <a:schemeClr val="tx1"/>
                </a:solidFill>
              </a:ln>
              <a:effectLst/>
            </c:spPr>
            <c:extLst>
              <c:ext xmlns:c16="http://schemas.microsoft.com/office/drawing/2014/chart" uri="{C3380CC4-5D6E-409C-BE32-E72D297353CC}">
                <c16:uniqueId val="{00000003-0349-4BEF-97C0-F438DDAAFC31}"/>
              </c:ext>
            </c:extLst>
          </c:dPt>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 Details'!$C$95:$C$96</c:f>
              <c:strCache>
                <c:ptCount val="2"/>
                <c:pt idx="0">
                  <c:v>Total Need Met</c:v>
                </c:pt>
                <c:pt idx="1">
                  <c:v>Total Need Unmet</c:v>
                </c:pt>
              </c:strCache>
            </c:strRef>
          </c:cat>
          <c:val>
            <c:numRef>
              <c:f>'Data Details'!$E$95:$E$96</c:f>
              <c:numCache>
                <c:formatCode>0.0%</c:formatCode>
                <c:ptCount val="2"/>
                <c:pt idx="0">
                  <c:v>0.35764621565205679</c:v>
                </c:pt>
                <c:pt idx="1">
                  <c:v>0.64235378434794321</c:v>
                </c:pt>
              </c:numCache>
            </c:numRef>
          </c:val>
          <c:extLst>
            <c:ext xmlns:c16="http://schemas.microsoft.com/office/drawing/2014/chart" uri="{C3380CC4-5D6E-409C-BE32-E72D297353CC}">
              <c16:uniqueId val="{00000004-0349-4BEF-97C0-F438DDAAFC3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sz="14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solidFill>
                <a:latin typeface="+mn-lt"/>
                <a:ea typeface="+mn-ea"/>
                <a:cs typeface="+mn-cs"/>
              </a:defRPr>
            </a:pPr>
            <a:r>
              <a:rPr lang="en-US" b="1">
                <a:solidFill>
                  <a:schemeClr val="tx1"/>
                </a:solidFill>
              </a:rPr>
              <a:t>Revised Policy (FY 2025)</a:t>
            </a:r>
          </a:p>
        </c:rich>
      </c:tx>
      <c:layout>
        <c:manualLayout>
          <c:xMode val="edge"/>
          <c:yMode val="edge"/>
          <c:x val="0.25029398674668224"/>
          <c:y val="2.7497708524289642E-2"/>
        </c:manualLayout>
      </c:layout>
      <c:overlay val="0"/>
      <c:spPr>
        <a:noFill/>
        <a:ln>
          <a:noFill/>
        </a:ln>
        <a:effectLst/>
      </c:spPr>
      <c:txPr>
        <a:bodyPr rot="0" spcFirstLastPara="1" vertOverflow="ellipsis" vert="horz" wrap="square" anchor="ctr" anchorCtr="1"/>
        <a:lstStyle/>
        <a:p>
          <a:pPr>
            <a:defRPr sz="1680" b="1" i="0" u="none" strike="noStrike" kern="1200" spc="0" baseline="0">
              <a:solidFill>
                <a:schemeClr val="tx1"/>
              </a:solidFill>
              <a:latin typeface="+mn-lt"/>
              <a:ea typeface="+mn-ea"/>
              <a:cs typeface="+mn-cs"/>
            </a:defRPr>
          </a:pPr>
          <a:endParaRPr lang="en-US"/>
        </a:p>
      </c:txPr>
    </c:title>
    <c:autoTitleDeleted val="0"/>
    <c:plotArea>
      <c:layout/>
      <c:pieChart>
        <c:varyColors val="1"/>
        <c:ser>
          <c:idx val="1"/>
          <c:order val="1"/>
          <c:tx>
            <c:strRef>
              <c:f>'Data Details'!$F$94</c:f>
              <c:strCache>
                <c:ptCount val="1"/>
                <c:pt idx="0">
                  <c:v>Revised
Policy</c:v>
                </c:pt>
              </c:strCache>
            </c:strRef>
          </c:tx>
          <c:spPr>
            <a:ln>
              <a:solidFill>
                <a:schemeClr val="tx1"/>
              </a:solidFill>
            </a:ln>
          </c:spPr>
          <c:dPt>
            <c:idx val="0"/>
            <c:bubble3D val="0"/>
            <c:spPr>
              <a:solidFill>
                <a:srgbClr val="000F5D"/>
              </a:solidFill>
              <a:ln w="19050">
                <a:solidFill>
                  <a:schemeClr val="tx1"/>
                </a:solidFill>
              </a:ln>
              <a:effectLst/>
            </c:spPr>
            <c:extLst>
              <c:ext xmlns:c16="http://schemas.microsoft.com/office/drawing/2014/chart" uri="{C3380CC4-5D6E-409C-BE32-E72D297353CC}">
                <c16:uniqueId val="{00000001-6ED9-4576-8BF2-26FE26601725}"/>
              </c:ext>
            </c:extLst>
          </c:dPt>
          <c:dPt>
            <c:idx val="1"/>
            <c:bubble3D val="0"/>
            <c:spPr>
              <a:solidFill>
                <a:srgbClr val="FF0000"/>
              </a:solidFill>
              <a:ln w="19050">
                <a:solidFill>
                  <a:schemeClr val="tx1"/>
                </a:solidFill>
              </a:ln>
              <a:effectLst/>
            </c:spPr>
            <c:extLst>
              <c:ext xmlns:c16="http://schemas.microsoft.com/office/drawing/2014/chart" uri="{C3380CC4-5D6E-409C-BE32-E72D297353CC}">
                <c16:uniqueId val="{00000003-6ED9-4576-8BF2-26FE26601725}"/>
              </c:ext>
            </c:extLst>
          </c:dPt>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 Details'!$C$95:$C$96</c:f>
              <c:strCache>
                <c:ptCount val="2"/>
                <c:pt idx="0">
                  <c:v>Total Need Met</c:v>
                </c:pt>
                <c:pt idx="1">
                  <c:v>Total Need Unmet</c:v>
                </c:pt>
              </c:strCache>
            </c:strRef>
          </c:cat>
          <c:val>
            <c:numRef>
              <c:f>'Data Details'!$F$95:$F$96</c:f>
              <c:numCache>
                <c:formatCode>0.0%</c:formatCode>
                <c:ptCount val="2"/>
                <c:pt idx="0">
                  <c:v>0.35764621565205679</c:v>
                </c:pt>
                <c:pt idx="1">
                  <c:v>0.64235378434794321</c:v>
                </c:pt>
              </c:numCache>
            </c:numRef>
          </c:val>
          <c:extLst>
            <c:ext xmlns:c16="http://schemas.microsoft.com/office/drawing/2014/chart" uri="{C3380CC4-5D6E-409C-BE32-E72D297353CC}">
              <c16:uniqueId val="{00000004-6ED9-4576-8BF2-26FE26601725}"/>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'Data Details'!$E$94</c15:sqref>
                        </c15:formulaRef>
                      </c:ext>
                    </c:extLst>
                    <c:strCache>
                      <c:ptCount val="1"/>
                      <c:pt idx="0">
                        <c:v>Current
Policy</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6-6ED9-4576-8BF2-26FE2660172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8-6ED9-4576-8BF2-26FE26601725}"/>
                    </c:ext>
                  </c:extLst>
                </c:dPt>
                <c:cat>
                  <c:strRef>
                    <c:extLst>
                      <c:ext uri="{02D57815-91ED-43cb-92C2-25804820EDAC}">
                        <c15:formulaRef>
                          <c15:sqref>'Data Details'!$C$95:$C$96</c15:sqref>
                        </c15:formulaRef>
                      </c:ext>
                    </c:extLst>
                    <c:strCache>
                      <c:ptCount val="2"/>
                      <c:pt idx="0">
                        <c:v>Total Need Met</c:v>
                      </c:pt>
                      <c:pt idx="1">
                        <c:v>Total Need Unmet</c:v>
                      </c:pt>
                    </c:strCache>
                  </c:strRef>
                </c:cat>
                <c:val>
                  <c:numRef>
                    <c:extLst>
                      <c:ext uri="{02D57815-91ED-43cb-92C2-25804820EDAC}">
                        <c15:formulaRef>
                          <c15:sqref>'Data Details'!$E$95:$E$96</c15:sqref>
                        </c15:formulaRef>
                      </c:ext>
                    </c:extLst>
                    <c:numCache>
                      <c:formatCode>0.0%</c:formatCode>
                      <c:ptCount val="2"/>
                      <c:pt idx="0">
                        <c:v>0.35764621565205679</c:v>
                      </c:pt>
                      <c:pt idx="1">
                        <c:v>0.64235378434794321</c:v>
                      </c:pt>
                    </c:numCache>
                  </c:numRef>
                </c:val>
                <c:extLst>
                  <c:ext xmlns:c16="http://schemas.microsoft.com/office/drawing/2014/chart" uri="{C3380CC4-5D6E-409C-BE32-E72D297353CC}">
                    <c16:uniqueId val="{00000009-6ED9-4576-8BF2-26FE26601725}"/>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sz="14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1" i="0" u="none" strike="noStrike" kern="1200" spc="0" baseline="0">
                <a:solidFill>
                  <a:schemeClr val="dk1"/>
                </a:solidFill>
                <a:latin typeface="+mn-lt"/>
                <a:ea typeface="+mn-ea"/>
                <a:cs typeface="+mn-cs"/>
              </a:defRPr>
            </a:pPr>
            <a:r>
              <a:rPr lang="en-US"/>
              <a:t>Charter</a:t>
            </a:r>
            <a:r>
              <a:rPr lang="en-US" baseline="0"/>
              <a:t> School Facility Index</a:t>
            </a:r>
            <a:r>
              <a:rPr lang="en-US"/>
              <a:t> (FY</a:t>
            </a:r>
            <a:r>
              <a:rPr lang="en-US" baseline="0"/>
              <a:t> 2025)</a:t>
            </a:r>
            <a:br>
              <a:rPr lang="en-US" baseline="0"/>
            </a:br>
            <a:r>
              <a:rPr lang="en-US" sz="1600" i="1"/>
              <a:t>Percent of Need Met</a:t>
            </a:r>
          </a:p>
        </c:rich>
      </c:tx>
      <c:overlay val="0"/>
      <c:spPr>
        <a:noFill/>
        <a:ln>
          <a:noFill/>
        </a:ln>
        <a:effectLst/>
      </c:spPr>
      <c:txPr>
        <a:bodyPr rot="0" spcFirstLastPara="1" vertOverflow="ellipsis" vert="horz" wrap="square" anchor="ctr" anchorCtr="1"/>
        <a:lstStyle/>
        <a:p>
          <a:pPr>
            <a:defRPr sz="2160" b="1"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'Data Details'!$C$95</c:f>
              <c:strCache>
                <c:ptCount val="1"/>
                <c:pt idx="0">
                  <c:v>Total Need Met</c:v>
                </c:pt>
              </c:strCache>
            </c:strRef>
          </c:tx>
          <c:spPr>
            <a:solidFill>
              <a:schemeClr val="accent1"/>
            </a:solidFill>
            <a:ln>
              <a:solidFill>
                <a:schemeClr val="tx1"/>
              </a:solidFill>
            </a:ln>
            <a:effectLst/>
          </c:spPr>
          <c:invertIfNegative val="0"/>
          <c:dPt>
            <c:idx val="0"/>
            <c:invertIfNegative val="0"/>
            <c:bubble3D val="0"/>
            <c:spPr>
              <a:solidFill>
                <a:srgbClr val="000F5D"/>
              </a:solidFill>
              <a:ln>
                <a:solidFill>
                  <a:schemeClr val="tx1"/>
                </a:solidFill>
              </a:ln>
              <a:effectLst/>
            </c:spPr>
            <c:extLst>
              <c:ext xmlns:c16="http://schemas.microsoft.com/office/drawing/2014/chart" uri="{C3380CC4-5D6E-409C-BE32-E72D297353CC}">
                <c16:uniqueId val="{00000002-D50A-4B89-A5A0-5D46AE0CB1D6}"/>
              </c:ext>
            </c:extLst>
          </c:dPt>
          <c:dPt>
            <c:idx val="1"/>
            <c:invertIfNegative val="0"/>
            <c:bubble3D val="0"/>
            <c:spPr>
              <a:solidFill>
                <a:srgbClr val="D59F0F"/>
              </a:solidFill>
              <a:ln>
                <a:solidFill>
                  <a:schemeClr val="tx1"/>
                </a:solidFill>
              </a:ln>
              <a:effectLst/>
            </c:spPr>
            <c:extLst>
              <c:ext xmlns:c16="http://schemas.microsoft.com/office/drawing/2014/chart" uri="{C3380CC4-5D6E-409C-BE32-E72D297353CC}">
                <c16:uniqueId val="{00000001-1B32-4602-A773-CB214BCAC43D}"/>
              </c:ext>
            </c:extLst>
          </c:dPt>
          <c:dLbls>
            <c:dLbl>
              <c:idx val="1"/>
              <c:showLegendKey val="0"/>
              <c:showVal val="1"/>
              <c:showCatName val="0"/>
              <c:showSerName val="0"/>
              <c:showPercent val="0"/>
              <c:showBubbleSize val="0"/>
              <c:extLst>
                <c:ext xmlns:c15="http://schemas.microsoft.com/office/drawing/2012/chart" uri="{CE6537A1-D6FC-4f65-9D91-7224C49458BB}">
                  <c15:layout>
                    <c:manualLayout>
                      <c:w val="0.24051294013202479"/>
                      <c:h val="5.4334677419354827E-2"/>
                    </c:manualLayout>
                  </c15:layout>
                </c:ext>
                <c:ext xmlns:c16="http://schemas.microsoft.com/office/drawing/2014/chart" uri="{C3380CC4-5D6E-409C-BE32-E72D297353CC}">
                  <c16:uniqueId val="{00000001-1B32-4602-A773-CB214BCAC43D}"/>
                </c:ext>
              </c:extLst>
            </c:dLbl>
            <c:spPr>
              <a:noFill/>
              <a:ln>
                <a:noFill/>
              </a:ln>
              <a:effectLst/>
            </c:spPr>
            <c:txPr>
              <a:bodyPr rot="0" spcFirstLastPara="1" vertOverflow="ellipsis" vert="horz" wrap="square" anchor="ctr" anchorCtr="1"/>
              <a:lstStyle/>
              <a:p>
                <a:pPr>
                  <a:defRPr sz="1800" b="1"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Details'!$E$94:$F$94</c:f>
              <c:strCache>
                <c:ptCount val="2"/>
                <c:pt idx="0">
                  <c:v>Current
Policy</c:v>
                </c:pt>
                <c:pt idx="1">
                  <c:v>Revised
Policy</c:v>
                </c:pt>
              </c:strCache>
            </c:strRef>
          </c:cat>
          <c:val>
            <c:numRef>
              <c:f>'Data Details'!$E$95:$F$95</c:f>
              <c:numCache>
                <c:formatCode>0.0%</c:formatCode>
                <c:ptCount val="2"/>
                <c:pt idx="0">
                  <c:v>0.35764621565205679</c:v>
                </c:pt>
                <c:pt idx="1">
                  <c:v>0.35764621565205679</c:v>
                </c:pt>
              </c:numCache>
            </c:numRef>
          </c:val>
          <c:extLst>
            <c:ext xmlns:c16="http://schemas.microsoft.com/office/drawing/2014/chart" uri="{C3380CC4-5D6E-409C-BE32-E72D297353CC}">
              <c16:uniqueId val="{00000000-1B32-4602-A773-CB214BCAC43D}"/>
            </c:ext>
          </c:extLst>
        </c:ser>
        <c:dLbls>
          <c:showLegendKey val="0"/>
          <c:showVal val="0"/>
          <c:showCatName val="0"/>
          <c:showSerName val="0"/>
          <c:showPercent val="0"/>
          <c:showBubbleSize val="0"/>
        </c:dLbls>
        <c:gapWidth val="47"/>
        <c:overlap val="-27"/>
        <c:axId val="357905120"/>
        <c:axId val="1924406016"/>
      </c:barChart>
      <c:catAx>
        <c:axId val="35790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dk1"/>
                </a:solidFill>
                <a:latin typeface="+mn-lt"/>
                <a:ea typeface="+mn-ea"/>
                <a:cs typeface="+mn-cs"/>
              </a:defRPr>
            </a:pPr>
            <a:endParaRPr lang="en-US"/>
          </a:p>
        </c:txPr>
        <c:crossAx val="1924406016"/>
        <c:crosses val="autoZero"/>
        <c:auto val="1"/>
        <c:lblAlgn val="ctr"/>
        <c:lblOffset val="100"/>
        <c:noMultiLvlLbl val="0"/>
      </c:catAx>
      <c:valAx>
        <c:axId val="1924406016"/>
        <c:scaling>
          <c:orientation val="minMax"/>
          <c:max val="1.100000000000000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dk1"/>
                </a:solidFill>
                <a:latin typeface="+mn-lt"/>
                <a:ea typeface="+mn-ea"/>
                <a:cs typeface="+mn-cs"/>
              </a:defRPr>
            </a:pPr>
            <a:endParaRPr lang="en-US"/>
          </a:p>
        </c:txPr>
        <c:crossAx val="357905120"/>
        <c:crosses val="autoZero"/>
        <c:crossBetween val="between"/>
        <c:majorUnit val="0.2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sz="1800">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1" i="0" u="none" strike="noStrike" kern="1200" spc="0" baseline="0">
                <a:solidFill>
                  <a:schemeClr val="dk1"/>
                </a:solidFill>
                <a:latin typeface="+mn-lt"/>
                <a:ea typeface="+mn-ea"/>
                <a:cs typeface="+mn-cs"/>
              </a:defRPr>
            </a:pPr>
            <a:r>
              <a:rPr lang="en-US"/>
              <a:t>Total</a:t>
            </a:r>
            <a:r>
              <a:rPr lang="en-US" baseline="0"/>
              <a:t> Charter School </a:t>
            </a:r>
            <a:r>
              <a:rPr lang="en-US"/>
              <a:t>Facility Gap (FY 2025)</a:t>
            </a:r>
          </a:p>
        </c:rich>
      </c:tx>
      <c:overlay val="0"/>
      <c:spPr>
        <a:noFill/>
        <a:ln>
          <a:noFill/>
        </a:ln>
        <a:effectLst/>
      </c:spPr>
      <c:txPr>
        <a:bodyPr rot="0" spcFirstLastPara="1" vertOverflow="ellipsis" vert="horz" wrap="square" anchor="ctr" anchorCtr="1"/>
        <a:lstStyle/>
        <a:p>
          <a:pPr>
            <a:defRPr sz="1920" b="1"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2289574035226192"/>
          <c:y val="0.13986457641589983"/>
          <c:w val="0.72956403211439746"/>
          <c:h val="0.83603903804193147"/>
        </c:manualLayout>
      </c:layout>
      <c:barChart>
        <c:barDir val="bar"/>
        <c:grouping val="clustered"/>
        <c:varyColors val="0"/>
        <c:ser>
          <c:idx val="4"/>
          <c:order val="4"/>
          <c:tx>
            <c:strRef>
              <c:f>'Data Details'!$C$100</c:f>
              <c:strCache>
                <c:ptCount val="1"/>
                <c:pt idx="0">
                  <c:v>Facility Gap Funding Amount</c:v>
                </c:pt>
              </c:strCache>
            </c:strRef>
          </c:tx>
          <c:spPr>
            <a:solidFill>
              <a:schemeClr val="accent1">
                <a:lumMod val="75000"/>
              </a:schemeClr>
            </a:solidFill>
            <a:ln>
              <a:solidFill>
                <a:schemeClr val="tx1"/>
              </a:solidFill>
            </a:ln>
            <a:effectLst/>
          </c:spPr>
          <c:invertIfNegative val="0"/>
          <c:dPt>
            <c:idx val="0"/>
            <c:invertIfNegative val="0"/>
            <c:bubble3D val="0"/>
            <c:spPr>
              <a:solidFill>
                <a:srgbClr val="000F5D"/>
              </a:solidFill>
              <a:ln>
                <a:solidFill>
                  <a:schemeClr val="tx1"/>
                </a:solidFill>
              </a:ln>
              <a:effectLst/>
            </c:spPr>
            <c:extLst>
              <c:ext xmlns:c16="http://schemas.microsoft.com/office/drawing/2014/chart" uri="{C3380CC4-5D6E-409C-BE32-E72D297353CC}">
                <c16:uniqueId val="{00000001-D5D1-4885-BF13-BDE72A3F8546}"/>
              </c:ext>
            </c:extLst>
          </c:dPt>
          <c:dPt>
            <c:idx val="1"/>
            <c:invertIfNegative val="0"/>
            <c:bubble3D val="0"/>
            <c:spPr>
              <a:solidFill>
                <a:srgbClr val="D59F0F"/>
              </a:solidFill>
              <a:ln>
                <a:solidFill>
                  <a:schemeClr val="tx1"/>
                </a:solidFill>
              </a:ln>
              <a:effectLst/>
            </c:spPr>
            <c:extLst>
              <c:ext xmlns:c16="http://schemas.microsoft.com/office/drawing/2014/chart" uri="{C3380CC4-5D6E-409C-BE32-E72D297353CC}">
                <c16:uniqueId val="{00000000-D5D1-4885-BF13-BDE72A3F8546}"/>
              </c:ext>
            </c:extLst>
          </c:dPt>
          <c:dLbls>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Details'!$E$94:$F$94</c:f>
              <c:strCache>
                <c:ptCount val="2"/>
                <c:pt idx="0">
                  <c:v>Current
Policy</c:v>
                </c:pt>
                <c:pt idx="1">
                  <c:v>Revised
Policy</c:v>
                </c:pt>
              </c:strCache>
            </c:strRef>
          </c:cat>
          <c:val>
            <c:numRef>
              <c:f>'Data Details'!$E$100:$F$100</c:f>
              <c:numCache>
                <c:formatCode>"$"#,##0</c:formatCode>
                <c:ptCount val="2"/>
                <c:pt idx="0">
                  <c:v>76096386.602397159</c:v>
                </c:pt>
                <c:pt idx="1">
                  <c:v>76096386.602397159</c:v>
                </c:pt>
              </c:numCache>
            </c:numRef>
          </c:val>
          <c:extLst>
            <c:ext xmlns:c16="http://schemas.microsoft.com/office/drawing/2014/chart" uri="{C3380CC4-5D6E-409C-BE32-E72D297353CC}">
              <c16:uniqueId val="{00000000-6B85-4699-B145-25F944B8664E}"/>
            </c:ext>
          </c:extLst>
        </c:ser>
        <c:dLbls>
          <c:showLegendKey val="0"/>
          <c:showVal val="0"/>
          <c:showCatName val="0"/>
          <c:showSerName val="0"/>
          <c:showPercent val="0"/>
          <c:showBubbleSize val="0"/>
        </c:dLbls>
        <c:gapWidth val="67"/>
        <c:overlap val="-27"/>
        <c:axId val="357905120"/>
        <c:axId val="1924406016"/>
        <c:extLst>
          <c:ext xmlns:c15="http://schemas.microsoft.com/office/drawing/2012/chart" uri="{02D57815-91ED-43cb-92C2-25804820EDAC}">
            <c15:filteredBarSeries>
              <c15:ser>
                <c:idx val="0"/>
                <c:order val="0"/>
                <c:tx>
                  <c:strRef>
                    <c:extLst>
                      <c:ext uri="{02D57815-91ED-43cb-92C2-25804820EDAC}">
                        <c15:formulaRef>
                          <c15:sqref>'Data Details'!$C$95</c15:sqref>
                        </c15:formulaRef>
                      </c:ext>
                    </c:extLst>
                    <c:strCache>
                      <c:ptCount val="1"/>
                      <c:pt idx="0">
                        <c:v>Total Need Met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'Data Details'!$E$94:$F$94</c15:sqref>
                        </c15:formulaRef>
                      </c:ext>
                    </c:extLst>
                    <c:strCache>
                      <c:ptCount val="2"/>
                      <c:pt idx="0">
                        <c:v>Current
Policy</c:v>
                      </c:pt>
                      <c:pt idx="1">
                        <c:v>Revised
Policy</c:v>
                      </c:pt>
                    </c:strCache>
                  </c:strRef>
                </c:cat>
                <c:val>
                  <c:numRef>
                    <c:extLst>
                      <c:ext uri="{02D57815-91ED-43cb-92C2-25804820EDAC}">
                        <c15:formulaRef>
                          <c15:sqref>'Data Details'!$E$95:$F$95</c15:sqref>
                        </c15:formulaRef>
                      </c:ext>
                    </c:extLst>
                    <c:numCache>
                      <c:formatCode>0.0%</c:formatCode>
                      <c:ptCount val="2"/>
                      <c:pt idx="0">
                        <c:v>0.35764621565205679</c:v>
                      </c:pt>
                      <c:pt idx="1">
                        <c:v>0.35764621565205679</c:v>
                      </c:pt>
                    </c:numCache>
                  </c:numRef>
                </c:val>
                <c:extLst>
                  <c:ext xmlns:c16="http://schemas.microsoft.com/office/drawing/2014/chart" uri="{C3380CC4-5D6E-409C-BE32-E72D297353CC}">
                    <c16:uniqueId val="{00000001-6B85-4699-B145-25F944B8664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'Data Details'!$C$97</c15:sqref>
                        </c15:formulaRef>
                      </c:ext>
                    </c:extLst>
                    <c:strCache>
                      <c:ptCount val="1"/>
                      <c:pt idx="0">
                        <c:v>Funding Subtotal</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'Data Details'!$E$94:$F$94</c15:sqref>
                        </c15:formulaRef>
                      </c:ext>
                    </c:extLst>
                    <c:strCache>
                      <c:ptCount val="2"/>
                      <c:pt idx="0">
                        <c:v>Current
Policy</c:v>
                      </c:pt>
                      <c:pt idx="1">
                        <c:v>Revised
Policy</c:v>
                      </c:pt>
                    </c:strCache>
                  </c:strRef>
                </c:cat>
                <c:val>
                  <c:numRef>
                    <c:extLst xmlns:c15="http://schemas.microsoft.com/office/drawing/2012/chart">
                      <c:ext xmlns:c15="http://schemas.microsoft.com/office/drawing/2012/chart" uri="{02D57815-91ED-43cb-92C2-25804820EDAC}">
                        <c15:formulaRef>
                          <c15:sqref>'Data Details'!$E$97:$F$97</c15:sqref>
                        </c15:formulaRef>
                      </c:ext>
                    </c:extLst>
                    <c:numCache>
                      <c:formatCode>0.0%</c:formatCode>
                      <c:ptCount val="2"/>
                      <c:pt idx="0">
                        <c:v>0.24440464823899297</c:v>
                      </c:pt>
                      <c:pt idx="1">
                        <c:v>0.24440464823899297</c:v>
                      </c:pt>
                    </c:numCache>
                  </c:numRef>
                </c:val>
                <c:extLst xmlns:c15="http://schemas.microsoft.com/office/drawing/2012/chart">
                  <c:ext xmlns:c16="http://schemas.microsoft.com/office/drawing/2014/chart" uri="{C3380CC4-5D6E-409C-BE32-E72D297353CC}">
                    <c16:uniqueId val="{00000002-6B85-4699-B145-25F944B8664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'Data Details'!$C$98</c15:sqref>
                        </c15:formulaRef>
                      </c:ext>
                    </c:extLst>
                    <c:strCache>
                      <c:ptCount val="1"/>
                      <c:pt idx="0">
                        <c:v>Facilities Subtotal</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'Data Details'!$E$94:$F$94</c15:sqref>
                        </c15:formulaRef>
                      </c:ext>
                    </c:extLst>
                    <c:strCache>
                      <c:ptCount val="2"/>
                      <c:pt idx="0">
                        <c:v>Current
Policy</c:v>
                      </c:pt>
                      <c:pt idx="1">
                        <c:v>Revised
Policy</c:v>
                      </c:pt>
                    </c:strCache>
                  </c:strRef>
                </c:cat>
                <c:val>
                  <c:numRef>
                    <c:extLst xmlns:c15="http://schemas.microsoft.com/office/drawing/2012/chart">
                      <c:ext xmlns:c15="http://schemas.microsoft.com/office/drawing/2012/chart" uri="{02D57815-91ED-43cb-92C2-25804820EDAC}">
                        <c15:formulaRef>
                          <c15:sqref>'Data Details'!$E$98:$F$98</c15:sqref>
                        </c15:formulaRef>
                      </c:ext>
                    </c:extLst>
                    <c:numCache>
                      <c:formatCode>0.0%</c:formatCode>
                      <c:ptCount val="2"/>
                      <c:pt idx="0">
                        <c:v>9.9682814392050803E-2</c:v>
                      </c:pt>
                      <c:pt idx="1">
                        <c:v>9.9682814392050803E-2</c:v>
                      </c:pt>
                    </c:numCache>
                  </c:numRef>
                </c:val>
                <c:extLst xmlns:c15="http://schemas.microsoft.com/office/drawing/2012/chart">
                  <c:ext xmlns:c16="http://schemas.microsoft.com/office/drawing/2014/chart" uri="{C3380CC4-5D6E-409C-BE32-E72D297353CC}">
                    <c16:uniqueId val="{00000003-6B85-4699-B145-25F944B8664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'Data Details'!$C$99</c15:sqref>
                        </c15:formulaRef>
                      </c:ext>
                    </c:extLst>
                    <c:strCache>
                      <c:ptCount val="1"/>
                      <c:pt idx="0">
                        <c:v>Financing Total</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'Data Details'!$E$94:$F$94</c15:sqref>
                        </c15:formulaRef>
                      </c:ext>
                    </c:extLst>
                    <c:strCache>
                      <c:ptCount val="2"/>
                      <c:pt idx="0">
                        <c:v>Current
Policy</c:v>
                      </c:pt>
                      <c:pt idx="1">
                        <c:v>Revised
Policy</c:v>
                      </c:pt>
                    </c:strCache>
                  </c:strRef>
                </c:cat>
                <c:val>
                  <c:numRef>
                    <c:extLst xmlns:c15="http://schemas.microsoft.com/office/drawing/2012/chart">
                      <c:ext xmlns:c15="http://schemas.microsoft.com/office/drawing/2012/chart" uri="{02D57815-91ED-43cb-92C2-25804820EDAC}">
                        <c15:formulaRef>
                          <c15:sqref>'Data Details'!$E$99:$F$99</c15:sqref>
                        </c15:formulaRef>
                      </c:ext>
                    </c:extLst>
                    <c:numCache>
                      <c:formatCode>0.0%</c:formatCode>
                      <c:ptCount val="2"/>
                      <c:pt idx="0">
                        <c:v>1.3558753021013023E-2</c:v>
                      </c:pt>
                      <c:pt idx="1">
                        <c:v>1.3558753021013023E-2</c:v>
                      </c:pt>
                    </c:numCache>
                  </c:numRef>
                </c:val>
                <c:extLst xmlns:c15="http://schemas.microsoft.com/office/drawing/2012/chart">
                  <c:ext xmlns:c16="http://schemas.microsoft.com/office/drawing/2014/chart" uri="{C3380CC4-5D6E-409C-BE32-E72D297353CC}">
                    <c16:uniqueId val="{00000004-6B85-4699-B145-25F944B8664E}"/>
                  </c:ext>
                </c:extLst>
              </c15:ser>
            </c15:filteredBarSeries>
          </c:ext>
        </c:extLst>
      </c:barChart>
      <c:catAx>
        <c:axId val="3579051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n-US"/>
          </a:p>
        </c:txPr>
        <c:crossAx val="1924406016"/>
        <c:crosses val="autoZero"/>
        <c:auto val="1"/>
        <c:lblAlgn val="ctr"/>
        <c:lblOffset val="100"/>
        <c:noMultiLvlLbl val="0"/>
      </c:catAx>
      <c:valAx>
        <c:axId val="1924406016"/>
        <c:scaling>
          <c:orientation val="minMax"/>
          <c:min val="0"/>
        </c:scaling>
        <c:delete val="1"/>
        <c:axPos val="t"/>
        <c:numFmt formatCode="&quot;$&quot;#,##0" sourceLinked="1"/>
        <c:majorTickMark val="out"/>
        <c:minorTickMark val="none"/>
        <c:tickLblPos val="nextTo"/>
        <c:crossAx val="357905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sz="1600">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dk1"/>
                </a:solidFill>
                <a:latin typeface="+mn-lt"/>
                <a:ea typeface="+mn-ea"/>
                <a:cs typeface="+mn-cs"/>
              </a:defRPr>
            </a:pPr>
            <a:r>
              <a:rPr lang="en-US" b="1" baseline="0"/>
              <a:t>Teachers That An Average-Sized Charter School Cannot Hire Because Its Facility Needs Are Not Fully Met (FY 2025)</a:t>
            </a:r>
            <a:endParaRPr lang="en-US" b="1"/>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6"/>
          <c:order val="6"/>
          <c:tx>
            <c:strRef>
              <c:f>'Data Details'!$C$102</c:f>
              <c:strCache>
                <c:ptCount val="1"/>
                <c:pt idx="0">
                  <c:v>Number of Additional Teachers Hired</c:v>
                </c:pt>
              </c:strCache>
              <c:extLst xmlns:c15="http://schemas.microsoft.com/office/drawing/2012/chart"/>
            </c:strRef>
          </c:tx>
          <c:spPr>
            <a:solidFill>
              <a:schemeClr val="accent4">
                <a:lumMod val="75000"/>
              </a:schemeClr>
            </a:solidFill>
            <a:ln>
              <a:solidFill>
                <a:schemeClr val="tx1"/>
              </a:solidFill>
            </a:ln>
            <a:effectLst/>
          </c:spPr>
          <c:invertIfNegative val="0"/>
          <c:dPt>
            <c:idx val="0"/>
            <c:invertIfNegative val="0"/>
            <c:bubble3D val="0"/>
            <c:spPr>
              <a:solidFill>
                <a:srgbClr val="000F5D"/>
              </a:solidFill>
              <a:ln>
                <a:solidFill>
                  <a:schemeClr val="tx1"/>
                </a:solidFill>
              </a:ln>
              <a:effectLst/>
            </c:spPr>
            <c:extLst>
              <c:ext xmlns:c16="http://schemas.microsoft.com/office/drawing/2014/chart" uri="{C3380CC4-5D6E-409C-BE32-E72D297353CC}">
                <c16:uniqueId val="{00000001-EC1C-48F7-8A75-1133164EFD8A}"/>
              </c:ext>
            </c:extLst>
          </c:dPt>
          <c:dPt>
            <c:idx val="1"/>
            <c:invertIfNegative val="0"/>
            <c:bubble3D val="0"/>
            <c:spPr>
              <a:solidFill>
                <a:srgbClr val="D59F0F"/>
              </a:solidFill>
              <a:ln>
                <a:solidFill>
                  <a:schemeClr val="tx1"/>
                </a:solidFill>
              </a:ln>
              <a:effectLst/>
            </c:spPr>
            <c:extLst>
              <c:ext xmlns:c16="http://schemas.microsoft.com/office/drawing/2014/chart" uri="{C3380CC4-5D6E-409C-BE32-E72D297353CC}">
                <c16:uniqueId val="{00000000-EC1C-48F7-8A75-1133164EFD8A}"/>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Details'!$E$94:$F$94</c:f>
              <c:strCache>
                <c:ptCount val="2"/>
                <c:pt idx="0">
                  <c:v>Current
Policy</c:v>
                </c:pt>
                <c:pt idx="1">
                  <c:v>Revised
Policy</c:v>
                </c:pt>
              </c:strCache>
              <c:extLst xmlns:c15="http://schemas.microsoft.com/office/drawing/2012/chart"/>
            </c:strRef>
          </c:cat>
          <c:val>
            <c:numRef>
              <c:f>'Data Details'!$E$102:$F$102</c:f>
              <c:numCache>
                <c:formatCode>0</c:formatCode>
                <c:ptCount val="2"/>
                <c:pt idx="0">
                  <c:v>11.393390472037728</c:v>
                </c:pt>
                <c:pt idx="1">
                  <c:v>11.393390472037728</c:v>
                </c:pt>
              </c:numCache>
              <c:extLst xmlns:c15="http://schemas.microsoft.com/office/drawing/2012/chart"/>
            </c:numRef>
          </c:val>
          <c:extLst>
            <c:ext xmlns:c16="http://schemas.microsoft.com/office/drawing/2014/chart" uri="{C3380CC4-5D6E-409C-BE32-E72D297353CC}">
              <c16:uniqueId val="{00000006-083E-406D-9547-30A7FC9E44F8}"/>
            </c:ext>
          </c:extLst>
        </c:ser>
        <c:dLbls>
          <c:showLegendKey val="0"/>
          <c:showVal val="0"/>
          <c:showCatName val="0"/>
          <c:showSerName val="0"/>
          <c:showPercent val="0"/>
          <c:showBubbleSize val="0"/>
        </c:dLbls>
        <c:gapWidth val="67"/>
        <c:overlap val="-27"/>
        <c:axId val="357905120"/>
        <c:axId val="1924406016"/>
        <c:extLst>
          <c:ext xmlns:c15="http://schemas.microsoft.com/office/drawing/2012/chart" uri="{02D57815-91ED-43cb-92C2-25804820EDAC}">
            <c15:filteredBarSeries>
              <c15:ser>
                <c:idx val="0"/>
                <c:order val="0"/>
                <c:tx>
                  <c:strRef>
                    <c:extLst>
                      <c:ext uri="{02D57815-91ED-43cb-92C2-25804820EDAC}">
                        <c15:formulaRef>
                          <c15:sqref>'Data Details'!$C$95</c15:sqref>
                        </c15:formulaRef>
                      </c:ext>
                    </c:extLst>
                    <c:strCache>
                      <c:ptCount val="1"/>
                      <c:pt idx="0">
                        <c:v>Total Need Met</c:v>
                      </c:pt>
                    </c:strCache>
                  </c:strRef>
                </c:tx>
                <c:spPr>
                  <a:solidFill>
                    <a:schemeClr val="accent1"/>
                  </a:solidFill>
                  <a:ln>
                    <a:noFill/>
                  </a:ln>
                  <a:effectLst/>
                </c:spPr>
                <c:invertIfNegative val="0"/>
                <c:cat>
                  <c:strRef>
                    <c:extLst>
                      <c:ext uri="{02D57815-91ED-43cb-92C2-25804820EDAC}">
                        <c15:formulaRef>
                          <c15:sqref>'Data Details'!$E$94:$F$94</c15:sqref>
                        </c15:formulaRef>
                      </c:ext>
                    </c:extLst>
                    <c:strCache>
                      <c:ptCount val="2"/>
                      <c:pt idx="0">
                        <c:v>Current
Policy</c:v>
                      </c:pt>
                      <c:pt idx="1">
                        <c:v>Revised
Policy</c:v>
                      </c:pt>
                    </c:strCache>
                  </c:strRef>
                </c:cat>
                <c:val>
                  <c:numRef>
                    <c:extLst>
                      <c:ext uri="{02D57815-91ED-43cb-92C2-25804820EDAC}">
                        <c15:formulaRef>
                          <c15:sqref>'Data Details'!$E$95:$F$95</c15:sqref>
                        </c15:formulaRef>
                      </c:ext>
                    </c:extLst>
                    <c:numCache>
                      <c:formatCode>0.0%</c:formatCode>
                      <c:ptCount val="2"/>
                      <c:pt idx="0">
                        <c:v>0.35764621565205679</c:v>
                      </c:pt>
                      <c:pt idx="1">
                        <c:v>0.35764621565205679</c:v>
                      </c:pt>
                    </c:numCache>
                  </c:numRef>
                </c:val>
                <c:extLst>
                  <c:ext xmlns:c16="http://schemas.microsoft.com/office/drawing/2014/chart" uri="{C3380CC4-5D6E-409C-BE32-E72D297353CC}">
                    <c16:uniqueId val="{00000001-083E-406D-9547-30A7FC9E44F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'Data Details'!$C$97</c15:sqref>
                        </c15:formulaRef>
                      </c:ext>
                    </c:extLst>
                    <c:strCache>
                      <c:ptCount val="1"/>
                      <c:pt idx="0">
                        <c:v>Funding Subtotal</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'Data Details'!$E$94:$F$94</c15:sqref>
                        </c15:formulaRef>
                      </c:ext>
                    </c:extLst>
                    <c:strCache>
                      <c:ptCount val="2"/>
                      <c:pt idx="0">
                        <c:v>Current
Policy</c:v>
                      </c:pt>
                      <c:pt idx="1">
                        <c:v>Revised
Policy</c:v>
                      </c:pt>
                    </c:strCache>
                  </c:strRef>
                </c:cat>
                <c:val>
                  <c:numRef>
                    <c:extLst xmlns:c15="http://schemas.microsoft.com/office/drawing/2012/chart">
                      <c:ext xmlns:c15="http://schemas.microsoft.com/office/drawing/2012/chart" uri="{02D57815-91ED-43cb-92C2-25804820EDAC}">
                        <c15:formulaRef>
                          <c15:sqref>'Data Details'!$E$97:$F$97</c15:sqref>
                        </c15:formulaRef>
                      </c:ext>
                    </c:extLst>
                    <c:numCache>
                      <c:formatCode>0.0%</c:formatCode>
                      <c:ptCount val="2"/>
                      <c:pt idx="0">
                        <c:v>0.24440464823899297</c:v>
                      </c:pt>
                      <c:pt idx="1">
                        <c:v>0.24440464823899297</c:v>
                      </c:pt>
                    </c:numCache>
                  </c:numRef>
                </c:val>
                <c:extLst xmlns:c15="http://schemas.microsoft.com/office/drawing/2012/chart">
                  <c:ext xmlns:c16="http://schemas.microsoft.com/office/drawing/2014/chart" uri="{C3380CC4-5D6E-409C-BE32-E72D297353CC}">
                    <c16:uniqueId val="{00000002-083E-406D-9547-30A7FC9E44F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'Data Details'!$C$98</c15:sqref>
                        </c15:formulaRef>
                      </c:ext>
                    </c:extLst>
                    <c:strCache>
                      <c:ptCount val="1"/>
                      <c:pt idx="0">
                        <c:v>Facilities Subtotal</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'Data Details'!$E$94:$F$94</c15:sqref>
                        </c15:formulaRef>
                      </c:ext>
                    </c:extLst>
                    <c:strCache>
                      <c:ptCount val="2"/>
                      <c:pt idx="0">
                        <c:v>Current
Policy</c:v>
                      </c:pt>
                      <c:pt idx="1">
                        <c:v>Revised
Policy</c:v>
                      </c:pt>
                    </c:strCache>
                  </c:strRef>
                </c:cat>
                <c:val>
                  <c:numRef>
                    <c:extLst xmlns:c15="http://schemas.microsoft.com/office/drawing/2012/chart">
                      <c:ext xmlns:c15="http://schemas.microsoft.com/office/drawing/2012/chart" uri="{02D57815-91ED-43cb-92C2-25804820EDAC}">
                        <c15:formulaRef>
                          <c15:sqref>'Data Details'!$E$98:$F$98</c15:sqref>
                        </c15:formulaRef>
                      </c:ext>
                    </c:extLst>
                    <c:numCache>
                      <c:formatCode>0.0%</c:formatCode>
                      <c:ptCount val="2"/>
                      <c:pt idx="0">
                        <c:v>9.9682814392050803E-2</c:v>
                      </c:pt>
                      <c:pt idx="1">
                        <c:v>9.9682814392050803E-2</c:v>
                      </c:pt>
                    </c:numCache>
                  </c:numRef>
                </c:val>
                <c:extLst xmlns:c15="http://schemas.microsoft.com/office/drawing/2012/chart">
                  <c:ext xmlns:c16="http://schemas.microsoft.com/office/drawing/2014/chart" uri="{C3380CC4-5D6E-409C-BE32-E72D297353CC}">
                    <c16:uniqueId val="{00000003-083E-406D-9547-30A7FC9E44F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'Data Details'!$C$99</c15:sqref>
                        </c15:formulaRef>
                      </c:ext>
                    </c:extLst>
                    <c:strCache>
                      <c:ptCount val="1"/>
                      <c:pt idx="0">
                        <c:v>Financing Total</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'Data Details'!$E$94:$F$94</c15:sqref>
                        </c15:formulaRef>
                      </c:ext>
                    </c:extLst>
                    <c:strCache>
                      <c:ptCount val="2"/>
                      <c:pt idx="0">
                        <c:v>Current
Policy</c:v>
                      </c:pt>
                      <c:pt idx="1">
                        <c:v>Revised
Policy</c:v>
                      </c:pt>
                    </c:strCache>
                  </c:strRef>
                </c:cat>
                <c:val>
                  <c:numRef>
                    <c:extLst xmlns:c15="http://schemas.microsoft.com/office/drawing/2012/chart">
                      <c:ext xmlns:c15="http://schemas.microsoft.com/office/drawing/2012/chart" uri="{02D57815-91ED-43cb-92C2-25804820EDAC}">
                        <c15:formulaRef>
                          <c15:sqref>'Data Details'!$E$99:$F$99</c15:sqref>
                        </c15:formulaRef>
                      </c:ext>
                    </c:extLst>
                    <c:numCache>
                      <c:formatCode>0.0%</c:formatCode>
                      <c:ptCount val="2"/>
                      <c:pt idx="0">
                        <c:v>1.3558753021013023E-2</c:v>
                      </c:pt>
                      <c:pt idx="1">
                        <c:v>1.3558753021013023E-2</c:v>
                      </c:pt>
                    </c:numCache>
                  </c:numRef>
                </c:val>
                <c:extLst xmlns:c15="http://schemas.microsoft.com/office/drawing/2012/chart">
                  <c:ext xmlns:c16="http://schemas.microsoft.com/office/drawing/2014/chart" uri="{C3380CC4-5D6E-409C-BE32-E72D297353CC}">
                    <c16:uniqueId val="{00000004-083E-406D-9547-30A7FC9E44F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'Data Details'!$C$100</c15:sqref>
                        </c15:formulaRef>
                      </c:ext>
                    </c:extLst>
                    <c:strCache>
                      <c:ptCount val="1"/>
                      <c:pt idx="0">
                        <c:v>Facility Gap Funding Amount</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'Data Details'!$E$94:$F$94</c15:sqref>
                        </c15:formulaRef>
                      </c:ext>
                    </c:extLst>
                    <c:strCache>
                      <c:ptCount val="2"/>
                      <c:pt idx="0">
                        <c:v>Current
Policy</c:v>
                      </c:pt>
                      <c:pt idx="1">
                        <c:v>Revised
Policy</c:v>
                      </c:pt>
                    </c:strCache>
                  </c:strRef>
                </c:cat>
                <c:val>
                  <c:numRef>
                    <c:extLst xmlns:c15="http://schemas.microsoft.com/office/drawing/2012/chart">
                      <c:ext xmlns:c15="http://schemas.microsoft.com/office/drawing/2012/chart" uri="{02D57815-91ED-43cb-92C2-25804820EDAC}">
                        <c15:formulaRef>
                          <c15:sqref>'Data Details'!$E$100:$F$100</c15:sqref>
                        </c15:formulaRef>
                      </c:ext>
                    </c:extLst>
                    <c:numCache>
                      <c:formatCode>"$"#,##0</c:formatCode>
                      <c:ptCount val="2"/>
                      <c:pt idx="0">
                        <c:v>76096386.602397159</c:v>
                      </c:pt>
                      <c:pt idx="1">
                        <c:v>76096386.602397159</c:v>
                      </c:pt>
                    </c:numCache>
                  </c:numRef>
                </c:val>
                <c:extLst xmlns:c15="http://schemas.microsoft.com/office/drawing/2012/chart">
                  <c:ext xmlns:c16="http://schemas.microsoft.com/office/drawing/2014/chart" uri="{C3380CC4-5D6E-409C-BE32-E72D297353CC}">
                    <c16:uniqueId val="{00000005-083E-406D-9547-30A7FC9E44F8}"/>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'Data Details'!$C$101</c15:sqref>
                        </c15:formulaRef>
                      </c:ext>
                    </c:extLst>
                    <c:strCache>
                      <c:ptCount val="1"/>
                      <c:pt idx="0">
                        <c:v>Per Student Facility Funding Gap</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'Data Details'!$E$94:$F$94</c15:sqref>
                        </c15:formulaRef>
                      </c:ext>
                    </c:extLst>
                    <c:strCache>
                      <c:ptCount val="2"/>
                      <c:pt idx="0">
                        <c:v>Current
Policy</c:v>
                      </c:pt>
                      <c:pt idx="1">
                        <c:v>Revised
Policy</c:v>
                      </c:pt>
                    </c:strCache>
                  </c:strRef>
                </c:cat>
                <c:val>
                  <c:numRef>
                    <c:extLst xmlns:c15="http://schemas.microsoft.com/office/drawing/2012/chart">
                      <c:ext xmlns:c15="http://schemas.microsoft.com/office/drawing/2012/chart" uri="{02D57815-91ED-43cb-92C2-25804820EDAC}">
                        <c15:formulaRef>
                          <c15:sqref>'Data Details'!$E$101:$F$101</c15:sqref>
                        </c15:formulaRef>
                      </c:ext>
                    </c:extLst>
                    <c:numCache>
                      <c:formatCode>"$"#,##0</c:formatCode>
                      <c:ptCount val="2"/>
                      <c:pt idx="0">
                        <c:v>1295.8072405511778</c:v>
                      </c:pt>
                      <c:pt idx="1">
                        <c:v>1295.8072405511778</c:v>
                      </c:pt>
                    </c:numCache>
                  </c:numRef>
                </c:val>
                <c:extLst xmlns:c15="http://schemas.microsoft.com/office/drawing/2012/chart">
                  <c:ext xmlns:c16="http://schemas.microsoft.com/office/drawing/2014/chart" uri="{C3380CC4-5D6E-409C-BE32-E72D297353CC}">
                    <c16:uniqueId val="{00000000-083E-406D-9547-30A7FC9E44F8}"/>
                  </c:ext>
                </c:extLst>
              </c15:ser>
            </c15:filteredBarSeries>
          </c:ext>
        </c:extLst>
      </c:barChart>
      <c:catAx>
        <c:axId val="35790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n-US"/>
          </a:p>
        </c:txPr>
        <c:crossAx val="1924406016"/>
        <c:crosses val="autoZero"/>
        <c:auto val="1"/>
        <c:lblAlgn val="ctr"/>
        <c:lblOffset val="100"/>
        <c:noMultiLvlLbl val="0"/>
      </c:catAx>
      <c:valAx>
        <c:axId val="19244060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dk1"/>
                </a:solidFill>
                <a:latin typeface="+mn-lt"/>
                <a:ea typeface="+mn-ea"/>
                <a:cs typeface="+mn-cs"/>
              </a:defRPr>
            </a:pPr>
            <a:endParaRPr lang="en-US"/>
          </a:p>
        </c:txPr>
        <c:crossAx val="357905120"/>
        <c:crosses val="autoZero"/>
        <c:crossBetween val="between"/>
        <c:majorUnit val="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sz="1400">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1" i="0" u="none" strike="noStrike" kern="1200" spc="0" baseline="0">
                <a:solidFill>
                  <a:schemeClr val="dk1"/>
                </a:solidFill>
                <a:latin typeface="+mn-lt"/>
                <a:ea typeface="+mn-ea"/>
                <a:cs typeface="+mn-cs"/>
              </a:defRPr>
            </a:pPr>
            <a:r>
              <a:rPr lang="en-US" sz="1920"/>
              <a:t>Charter</a:t>
            </a:r>
            <a:r>
              <a:rPr lang="en-US" sz="1920" baseline="0"/>
              <a:t> School</a:t>
            </a:r>
            <a:br>
              <a:rPr lang="en-US" sz="1920" baseline="0"/>
            </a:br>
            <a:r>
              <a:rPr lang="en-US" sz="1920" baseline="0"/>
              <a:t>Facility Index</a:t>
            </a:r>
            <a:endParaRPr lang="en-US" sz="1920"/>
          </a:p>
          <a:p>
            <a:pPr>
              <a:defRPr sz="1920" b="1"/>
            </a:pPr>
            <a:r>
              <a:rPr lang="en-US" sz="1600" i="1" u="none"/>
              <a:t>Percent of Need Met</a:t>
            </a:r>
          </a:p>
        </c:rich>
      </c:tx>
      <c:overlay val="0"/>
      <c:spPr>
        <a:noFill/>
        <a:ln>
          <a:noFill/>
        </a:ln>
        <a:effectLst/>
      </c:spPr>
      <c:txPr>
        <a:bodyPr rot="0" spcFirstLastPara="1" vertOverflow="ellipsis" vert="horz" wrap="square" anchor="ctr" anchorCtr="1"/>
        <a:lstStyle/>
        <a:p>
          <a:pPr>
            <a:defRPr sz="1920" b="1"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2"/>
          <c:order val="2"/>
          <c:tx>
            <c:strRef>
              <c:f>'Facility Index Tool'!$C$18</c:f>
              <c:strCache>
                <c:ptCount val="1"/>
                <c:pt idx="0">
                  <c:v>Charter School Facility Index</c:v>
                </c:pt>
              </c:strCache>
            </c:strRef>
          </c:tx>
          <c:spPr>
            <a:solidFill>
              <a:schemeClr val="accent3"/>
            </a:solidFill>
            <a:ln>
              <a:solidFill>
                <a:sysClr val="windowText" lastClr="000000"/>
              </a:solidFill>
            </a:ln>
            <a:effectLst/>
          </c:spPr>
          <c:invertIfNegative val="0"/>
          <c:dPt>
            <c:idx val="0"/>
            <c:invertIfNegative val="0"/>
            <c:bubble3D val="0"/>
            <c:spPr>
              <a:solidFill>
                <a:schemeClr val="accent1">
                  <a:lumMod val="40000"/>
                  <a:lumOff val="60000"/>
                </a:schemeClr>
              </a:solidFill>
              <a:ln>
                <a:solidFill>
                  <a:sysClr val="windowText" lastClr="000000"/>
                </a:solidFill>
              </a:ln>
              <a:effectLst/>
            </c:spPr>
            <c:extLst>
              <c:ext xmlns:c16="http://schemas.microsoft.com/office/drawing/2014/chart" uri="{C3380CC4-5D6E-409C-BE32-E72D297353CC}">
                <c16:uniqueId val="{0000000B-5A11-4820-8324-477DF9A0D605}"/>
              </c:ext>
            </c:extLst>
          </c:dPt>
          <c:dPt>
            <c:idx val="1"/>
            <c:invertIfNegative val="0"/>
            <c:bubble3D val="0"/>
            <c:spPr>
              <a:solidFill>
                <a:srgbClr val="000F5D"/>
              </a:solidFill>
              <a:ln>
                <a:solidFill>
                  <a:sysClr val="windowText" lastClr="000000"/>
                </a:solidFill>
              </a:ln>
              <a:effectLst/>
            </c:spPr>
            <c:extLst>
              <c:ext xmlns:c16="http://schemas.microsoft.com/office/drawing/2014/chart" uri="{C3380CC4-5D6E-409C-BE32-E72D297353CC}">
                <c16:uniqueId val="{0000000A-5A11-4820-8324-477DF9A0D605}"/>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'Facility Index Tool'!$D$15:$E$15</c:f>
              <c:strCache>
                <c:ptCount val="2"/>
                <c:pt idx="0">
                  <c:v> Current
(FY 2020)</c:v>
                </c:pt>
                <c:pt idx="1">
                  <c:v>Projected
(FY 2025)</c:v>
                </c:pt>
              </c:strCache>
            </c:strRef>
          </c:cat>
          <c:val>
            <c:numRef>
              <c:f>'Facility Index Tool'!$D$18:$E$18</c:f>
              <c:numCache>
                <c:formatCode>0.0%</c:formatCode>
                <c:ptCount val="2"/>
                <c:pt idx="0">
                  <c:v>0.39860703654117868</c:v>
                </c:pt>
                <c:pt idx="1">
                  <c:v>0.35764621565205679</c:v>
                </c:pt>
              </c:numCache>
            </c:numRef>
          </c:val>
          <c:extLst>
            <c:ext xmlns:c16="http://schemas.microsoft.com/office/drawing/2014/chart" uri="{C3380CC4-5D6E-409C-BE32-E72D297353CC}">
              <c16:uniqueId val="{00000006-5A11-4820-8324-477DF9A0D605}"/>
            </c:ext>
          </c:extLst>
        </c:ser>
        <c:dLbls>
          <c:showLegendKey val="0"/>
          <c:showVal val="0"/>
          <c:showCatName val="0"/>
          <c:showSerName val="0"/>
          <c:showPercent val="0"/>
          <c:showBubbleSize val="0"/>
        </c:dLbls>
        <c:gapWidth val="67"/>
        <c:overlap val="-27"/>
        <c:axId val="357905120"/>
        <c:axId val="1924406016"/>
        <c:extLst>
          <c:ext xmlns:c15="http://schemas.microsoft.com/office/drawing/2012/chart" uri="{02D57815-91ED-43cb-92C2-25804820EDAC}">
            <c15:filteredBarSeries>
              <c15:ser>
                <c:idx val="0"/>
                <c:order val="0"/>
                <c:tx>
                  <c:strRef>
                    <c:extLst>
                      <c:ext uri="{02D57815-91ED-43cb-92C2-25804820EDAC}">
                        <c15:formulaRef>
                          <c15:sqref>'Facility Index Tool'!$C$16</c15:sqref>
                        </c15:formulaRef>
                      </c:ext>
                    </c:extLst>
                    <c:strCache>
                      <c:ptCount val="1"/>
                      <c:pt idx="0">
                        <c:v>Charter school enrollment</c:v>
                      </c:pt>
                    </c:strCache>
                  </c:strRef>
                </c:tx>
                <c:spPr>
                  <a:solidFill>
                    <a:schemeClr val="accent1"/>
                  </a:solidFill>
                  <a:ln>
                    <a:noFill/>
                  </a:ln>
                  <a:effectLst/>
                </c:spPr>
                <c:invertIfNegative val="0"/>
                <c:cat>
                  <c:strRef>
                    <c:extLst>
                      <c:ext uri="{02D57815-91ED-43cb-92C2-25804820EDAC}">
                        <c15:formulaRef>
                          <c15:sqref>'Facility Index Tool'!$D$15:$E$15</c15:sqref>
                        </c15:formulaRef>
                      </c:ext>
                    </c:extLst>
                    <c:strCache>
                      <c:ptCount val="2"/>
                      <c:pt idx="0">
                        <c:v> Current
(FY 2020)</c:v>
                      </c:pt>
                      <c:pt idx="1">
                        <c:v>Projected
(FY 2025)</c:v>
                      </c:pt>
                    </c:strCache>
                  </c:strRef>
                </c:cat>
                <c:val>
                  <c:numRef>
                    <c:extLst>
                      <c:ext uri="{02D57815-91ED-43cb-92C2-25804820EDAC}">
                        <c15:formulaRef>
                          <c15:sqref>'Facility Index Tool'!$D$16:$E$16</c15:sqref>
                        </c15:formulaRef>
                      </c:ext>
                    </c:extLst>
                    <c:numCache>
                      <c:formatCode>#,##0</c:formatCode>
                      <c:ptCount val="2"/>
                      <c:pt idx="0">
                        <c:v>38608</c:v>
                      </c:pt>
                      <c:pt idx="1">
                        <c:v>58725.082111772426</c:v>
                      </c:pt>
                    </c:numCache>
                  </c:numRef>
                </c:val>
                <c:extLst>
                  <c:ext xmlns:c16="http://schemas.microsoft.com/office/drawing/2014/chart" uri="{C3380CC4-5D6E-409C-BE32-E72D297353CC}">
                    <c16:uniqueId val="{00000004-5A11-4820-8324-477DF9A0D605}"/>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'Facility Index Tool'!$C$17</c15:sqref>
                        </c15:formulaRef>
                      </c:ext>
                    </c:extLst>
                    <c:strCache>
                      <c:ptCount val="1"/>
                      <c:pt idx="0">
                        <c:v>Number of charter schools</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'Facility Index Tool'!$D$15:$E$15</c15:sqref>
                        </c15:formulaRef>
                      </c:ext>
                    </c:extLst>
                    <c:strCache>
                      <c:ptCount val="2"/>
                      <c:pt idx="0">
                        <c:v> Current
(FY 2020)</c:v>
                      </c:pt>
                      <c:pt idx="1">
                        <c:v>Projected
(FY 2025)</c:v>
                      </c:pt>
                    </c:strCache>
                  </c:strRef>
                </c:cat>
                <c:val>
                  <c:numRef>
                    <c:extLst xmlns:c15="http://schemas.microsoft.com/office/drawing/2012/chart">
                      <c:ext xmlns:c15="http://schemas.microsoft.com/office/drawing/2012/chart" uri="{02D57815-91ED-43cb-92C2-25804820EDAC}">
                        <c15:formulaRef>
                          <c15:sqref>'Facility Index Tool'!$D$17:$E$17</c15:sqref>
                        </c15:formulaRef>
                      </c:ext>
                    </c:extLst>
                    <c:numCache>
                      <c:formatCode>#,##0</c:formatCode>
                      <c:ptCount val="2"/>
                      <c:pt idx="0">
                        <c:v>98</c:v>
                      </c:pt>
                      <c:pt idx="1">
                        <c:v>133</c:v>
                      </c:pt>
                    </c:numCache>
                  </c:numRef>
                </c:val>
                <c:extLst xmlns:c15="http://schemas.microsoft.com/office/drawing/2012/chart">
                  <c:ext xmlns:c16="http://schemas.microsoft.com/office/drawing/2014/chart" uri="{C3380CC4-5D6E-409C-BE32-E72D297353CC}">
                    <c16:uniqueId val="{00000005-5A11-4820-8324-477DF9A0D605}"/>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'Facility Index Tool'!$C$19</c15:sqref>
                        </c15:formulaRef>
                      </c:ext>
                    </c:extLst>
                    <c:strCache>
                      <c:ptCount val="1"/>
                      <c:pt idx="0">
                        <c:v>Total facility gap</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'Facility Index Tool'!$D$15:$E$15</c15:sqref>
                        </c15:formulaRef>
                      </c:ext>
                    </c:extLst>
                    <c:strCache>
                      <c:ptCount val="2"/>
                      <c:pt idx="0">
                        <c:v> Current
(FY 2020)</c:v>
                      </c:pt>
                      <c:pt idx="1">
                        <c:v>Projected
(FY 2025)</c:v>
                      </c:pt>
                    </c:strCache>
                  </c:strRef>
                </c:cat>
                <c:val>
                  <c:numRef>
                    <c:extLst xmlns:c15="http://schemas.microsoft.com/office/drawing/2012/chart">
                      <c:ext xmlns:c15="http://schemas.microsoft.com/office/drawing/2012/chart" uri="{02D57815-91ED-43cb-92C2-25804820EDAC}">
                        <c15:formulaRef>
                          <c15:sqref>'Facility Index Tool'!$D$19:$E$19</c15:sqref>
                        </c15:formulaRef>
                      </c:ext>
                    </c:extLst>
                    <c:numCache>
                      <c:formatCode>"$"#,##0</c:formatCode>
                      <c:ptCount val="2"/>
                      <c:pt idx="0">
                        <c:v>41398293.120290734</c:v>
                      </c:pt>
                      <c:pt idx="1">
                        <c:v>76096386.602397159</c:v>
                      </c:pt>
                    </c:numCache>
                  </c:numRef>
                </c:val>
                <c:extLst xmlns:c15="http://schemas.microsoft.com/office/drawing/2012/chart">
                  <c:ext xmlns:c16="http://schemas.microsoft.com/office/drawing/2014/chart" uri="{C3380CC4-5D6E-409C-BE32-E72D297353CC}">
                    <c16:uniqueId val="{00000007-5A11-4820-8324-477DF9A0D60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'Facility Index Tool'!$C$20</c15:sqref>
                        </c15:formulaRef>
                      </c:ext>
                    </c:extLst>
                    <c:strCache>
                      <c:ptCount val="1"/>
                      <c:pt idx="0">
                        <c:v>Facility gap per student</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'Facility Index Tool'!$D$15:$E$15</c15:sqref>
                        </c15:formulaRef>
                      </c:ext>
                    </c:extLst>
                    <c:strCache>
                      <c:ptCount val="2"/>
                      <c:pt idx="0">
                        <c:v> Current
(FY 2020)</c:v>
                      </c:pt>
                      <c:pt idx="1">
                        <c:v>Projected
(FY 2025)</c:v>
                      </c:pt>
                    </c:strCache>
                  </c:strRef>
                </c:cat>
                <c:val>
                  <c:numRef>
                    <c:extLst xmlns:c15="http://schemas.microsoft.com/office/drawing/2012/chart">
                      <c:ext xmlns:c15="http://schemas.microsoft.com/office/drawing/2012/chart" uri="{02D57815-91ED-43cb-92C2-25804820EDAC}">
                        <c15:formulaRef>
                          <c15:sqref>'Facility Index Tool'!$D$20:$E$20</c15:sqref>
                        </c15:formulaRef>
                      </c:ext>
                    </c:extLst>
                    <c:numCache>
                      <c:formatCode>"$"#,##0</c:formatCode>
                      <c:ptCount val="2"/>
                      <c:pt idx="0">
                        <c:v>1072.2724077986618</c:v>
                      </c:pt>
                      <c:pt idx="1">
                        <c:v>1295.8072405511778</c:v>
                      </c:pt>
                    </c:numCache>
                  </c:numRef>
                </c:val>
                <c:extLst xmlns:c15="http://schemas.microsoft.com/office/drawing/2012/chart">
                  <c:ext xmlns:c16="http://schemas.microsoft.com/office/drawing/2014/chart" uri="{C3380CC4-5D6E-409C-BE32-E72D297353CC}">
                    <c16:uniqueId val="{00000008-5A11-4820-8324-477DF9A0D60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'Facility Index Tool'!$C$21</c15:sqref>
                        </c15:formulaRef>
                      </c:ext>
                    </c:extLst>
                    <c:strCache>
                      <c:ptCount val="1"/>
                      <c:pt idx="0">
                        <c:v>Teachers that an average-sized charter school cannot hire because its facility are not needs fully met</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'Facility Index Tool'!$D$15:$E$15</c15:sqref>
                        </c15:formulaRef>
                      </c:ext>
                    </c:extLst>
                    <c:strCache>
                      <c:ptCount val="2"/>
                      <c:pt idx="0">
                        <c:v> Current
(FY 2020)</c:v>
                      </c:pt>
                      <c:pt idx="1">
                        <c:v>Projected
(FY 2025)</c:v>
                      </c:pt>
                    </c:strCache>
                  </c:strRef>
                </c:cat>
                <c:val>
                  <c:numRef>
                    <c:extLst xmlns:c15="http://schemas.microsoft.com/office/drawing/2012/chart">
                      <c:ext xmlns:c15="http://schemas.microsoft.com/office/drawing/2012/chart" uri="{02D57815-91ED-43cb-92C2-25804820EDAC}">
                        <c15:formulaRef>
                          <c15:sqref>'Facility Index Tool'!$D$21:$E$21</c15:sqref>
                        </c15:formulaRef>
                      </c:ext>
                    </c:extLst>
                    <c:numCache>
                      <c:formatCode>0</c:formatCode>
                      <c:ptCount val="2"/>
                      <c:pt idx="0">
                        <c:v>8.411955124695254</c:v>
                      </c:pt>
                      <c:pt idx="1">
                        <c:v>11.393390472037728</c:v>
                      </c:pt>
                    </c:numCache>
                  </c:numRef>
                </c:val>
                <c:extLst xmlns:c15="http://schemas.microsoft.com/office/drawing/2012/chart">
                  <c:ext xmlns:c16="http://schemas.microsoft.com/office/drawing/2014/chart" uri="{C3380CC4-5D6E-409C-BE32-E72D297353CC}">
                    <c16:uniqueId val="{00000009-5A11-4820-8324-477DF9A0D605}"/>
                  </c:ext>
                </c:extLst>
              </c15:ser>
            </c15:filteredBarSeries>
          </c:ext>
        </c:extLst>
      </c:barChart>
      <c:catAx>
        <c:axId val="35790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dk1"/>
                </a:solidFill>
                <a:latin typeface="+mn-lt"/>
                <a:ea typeface="+mn-ea"/>
                <a:cs typeface="+mn-cs"/>
              </a:defRPr>
            </a:pPr>
            <a:endParaRPr lang="en-US"/>
          </a:p>
        </c:txPr>
        <c:crossAx val="1924406016"/>
        <c:crosses val="autoZero"/>
        <c:auto val="1"/>
        <c:lblAlgn val="ctr"/>
        <c:lblOffset val="100"/>
        <c:noMultiLvlLbl val="0"/>
      </c:catAx>
      <c:valAx>
        <c:axId val="1924406016"/>
        <c:scaling>
          <c:orientation val="minMax"/>
          <c:max val="1.100000000000000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dk1"/>
                </a:solidFill>
                <a:latin typeface="+mn-lt"/>
                <a:ea typeface="+mn-ea"/>
                <a:cs typeface="+mn-cs"/>
              </a:defRPr>
            </a:pPr>
            <a:endParaRPr lang="en-US"/>
          </a:p>
        </c:txPr>
        <c:crossAx val="357905120"/>
        <c:crosses val="autoZero"/>
        <c:crossBetween val="between"/>
        <c:majorUnit val="0.2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sz="1800">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1" i="0" u="none" strike="noStrike" kern="1200" spc="0" baseline="0">
                <a:solidFill>
                  <a:schemeClr val="dk1"/>
                </a:solidFill>
                <a:latin typeface="+mn-lt"/>
                <a:ea typeface="+mn-ea"/>
                <a:cs typeface="+mn-cs"/>
              </a:defRPr>
            </a:pPr>
            <a:r>
              <a:rPr lang="en-US"/>
              <a:t>Total</a:t>
            </a:r>
            <a:r>
              <a:rPr lang="en-US" baseline="0"/>
              <a:t> Charter School </a:t>
            </a:r>
            <a:r>
              <a:rPr lang="en-US"/>
              <a:t>Facility Gap</a:t>
            </a:r>
          </a:p>
        </c:rich>
      </c:tx>
      <c:overlay val="0"/>
      <c:spPr>
        <a:noFill/>
        <a:ln>
          <a:noFill/>
        </a:ln>
        <a:effectLst/>
      </c:spPr>
      <c:txPr>
        <a:bodyPr rot="0" spcFirstLastPara="1" vertOverflow="ellipsis" vert="horz" wrap="square" anchor="ctr" anchorCtr="1"/>
        <a:lstStyle/>
        <a:p>
          <a:pPr>
            <a:defRPr sz="1920" b="1"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9753421670398938"/>
          <c:y val="0.13986444489865107"/>
          <c:w val="0.62631746331476501"/>
          <c:h val="0.83603903804193147"/>
        </c:manualLayout>
      </c:layout>
      <c:barChart>
        <c:barDir val="bar"/>
        <c:grouping val="clustered"/>
        <c:varyColors val="0"/>
        <c:ser>
          <c:idx val="3"/>
          <c:order val="3"/>
          <c:tx>
            <c:strRef>
              <c:f>'Facility Index Tool'!$C$19</c:f>
              <c:strCache>
                <c:ptCount val="1"/>
                <c:pt idx="0">
                  <c:v>Total facility gap</c:v>
                </c:pt>
              </c:strCache>
            </c:strRef>
          </c:tx>
          <c:spPr>
            <a:solidFill>
              <a:schemeClr val="accent4"/>
            </a:solidFill>
            <a:ln>
              <a:solidFill>
                <a:sysClr val="windowText" lastClr="000000"/>
              </a:solidFill>
            </a:ln>
            <a:effectLst/>
          </c:spPr>
          <c:invertIfNegative val="0"/>
          <c:dPt>
            <c:idx val="0"/>
            <c:invertIfNegative val="0"/>
            <c:bubble3D val="0"/>
            <c:spPr>
              <a:solidFill>
                <a:schemeClr val="accent1">
                  <a:lumMod val="40000"/>
                  <a:lumOff val="60000"/>
                </a:schemeClr>
              </a:solidFill>
              <a:ln>
                <a:solidFill>
                  <a:sysClr val="windowText" lastClr="000000"/>
                </a:solidFill>
              </a:ln>
              <a:effectLst/>
            </c:spPr>
            <c:extLst>
              <c:ext xmlns:c16="http://schemas.microsoft.com/office/drawing/2014/chart" uri="{C3380CC4-5D6E-409C-BE32-E72D297353CC}">
                <c16:uniqueId val="{0000000A-97F3-42D2-94BA-5A439A3AE3EC}"/>
              </c:ext>
            </c:extLst>
          </c:dPt>
          <c:dPt>
            <c:idx val="1"/>
            <c:invertIfNegative val="0"/>
            <c:bubble3D val="0"/>
            <c:spPr>
              <a:solidFill>
                <a:srgbClr val="000F5D"/>
              </a:solidFill>
              <a:ln>
                <a:solidFill>
                  <a:sysClr val="windowText" lastClr="000000"/>
                </a:solidFill>
              </a:ln>
              <a:effectLst/>
            </c:spPr>
            <c:extLst>
              <c:ext xmlns:c16="http://schemas.microsoft.com/office/drawing/2014/chart" uri="{C3380CC4-5D6E-409C-BE32-E72D297353CC}">
                <c16:uniqueId val="{0000000B-97F3-42D2-94BA-5A439A3AE3EC}"/>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A-97F3-42D2-94BA-5A439A3AE3EC}"/>
                </c:ext>
              </c:extLst>
            </c:dLbl>
            <c:dLbl>
              <c:idx val="1"/>
              <c:layout>
                <c:manualLayout>
                  <c:x val="-1.0867184648276582E-4"/>
                  <c:y val="-7.8082600387958242E-3"/>
                </c:manualLayout>
              </c:layout>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3798090072394101"/>
                      <c:h val="0.12400896502484038"/>
                    </c:manualLayout>
                  </c15:layout>
                </c:ext>
                <c:ext xmlns:c16="http://schemas.microsoft.com/office/drawing/2014/chart" uri="{C3380CC4-5D6E-409C-BE32-E72D297353CC}">
                  <c16:uniqueId val="{0000000B-97F3-42D2-94BA-5A439A3AE3EC}"/>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'Facility Index Tool'!$D$15:$E$15</c:f>
              <c:strCache>
                <c:ptCount val="2"/>
                <c:pt idx="0">
                  <c:v> Current
(FY 2020)</c:v>
                </c:pt>
                <c:pt idx="1">
                  <c:v>Projected
(FY 2025)</c:v>
                </c:pt>
              </c:strCache>
            </c:strRef>
          </c:cat>
          <c:val>
            <c:numRef>
              <c:f>'Facility Index Tool'!$D$19:$E$19</c:f>
              <c:numCache>
                <c:formatCode>"$"#,##0</c:formatCode>
                <c:ptCount val="2"/>
                <c:pt idx="0">
                  <c:v>41398293.120290734</c:v>
                </c:pt>
                <c:pt idx="1">
                  <c:v>76096386.602397159</c:v>
                </c:pt>
              </c:numCache>
            </c:numRef>
          </c:val>
          <c:extLst xmlns:c15="http://schemas.microsoft.com/office/drawing/2012/chart">
            <c:ext xmlns:c16="http://schemas.microsoft.com/office/drawing/2014/chart" uri="{C3380CC4-5D6E-409C-BE32-E72D297353CC}">
              <c16:uniqueId val="{00000008-97F3-42D2-94BA-5A439A3AE3EC}"/>
            </c:ext>
          </c:extLst>
        </c:ser>
        <c:dLbls>
          <c:showLegendKey val="0"/>
          <c:showVal val="0"/>
          <c:showCatName val="0"/>
          <c:showSerName val="0"/>
          <c:showPercent val="0"/>
          <c:showBubbleSize val="0"/>
        </c:dLbls>
        <c:gapWidth val="67"/>
        <c:overlap val="-27"/>
        <c:axId val="357905120"/>
        <c:axId val="1924406016"/>
        <c:extLst>
          <c:ext xmlns:c15="http://schemas.microsoft.com/office/drawing/2012/chart" uri="{02D57815-91ED-43cb-92C2-25804820EDAC}">
            <c15:filteredBarSeries>
              <c15:ser>
                <c:idx val="0"/>
                <c:order val="0"/>
                <c:tx>
                  <c:strRef>
                    <c:extLst>
                      <c:ext uri="{02D57815-91ED-43cb-92C2-25804820EDAC}">
                        <c15:formulaRef>
                          <c15:sqref>'Facility Index Tool'!$C$16</c15:sqref>
                        </c15:formulaRef>
                      </c:ext>
                    </c:extLst>
                    <c:strCache>
                      <c:ptCount val="1"/>
                      <c:pt idx="0">
                        <c:v>Charter school enrollment</c:v>
                      </c:pt>
                    </c:strCache>
                  </c:strRef>
                </c:tx>
                <c:spPr>
                  <a:solidFill>
                    <a:schemeClr val="accent1"/>
                  </a:solidFill>
                  <a:ln>
                    <a:noFill/>
                  </a:ln>
                  <a:effectLst/>
                </c:spPr>
                <c:invertIfNegative val="0"/>
                <c:cat>
                  <c:strRef>
                    <c:extLst>
                      <c:ext uri="{02D57815-91ED-43cb-92C2-25804820EDAC}">
                        <c15:formulaRef>
                          <c15:sqref>'Facility Index Tool'!$D$15:$E$15</c15:sqref>
                        </c15:formulaRef>
                      </c:ext>
                    </c:extLst>
                    <c:strCache>
                      <c:ptCount val="2"/>
                      <c:pt idx="0">
                        <c:v> Current
(FY 2020)</c:v>
                      </c:pt>
                      <c:pt idx="1">
                        <c:v>Projected
(FY 2025)</c:v>
                      </c:pt>
                    </c:strCache>
                  </c:strRef>
                </c:cat>
                <c:val>
                  <c:numRef>
                    <c:extLst>
                      <c:ext uri="{02D57815-91ED-43cb-92C2-25804820EDAC}">
                        <c15:formulaRef>
                          <c15:sqref>'Facility Index Tool'!$D$16:$E$16</c15:sqref>
                        </c15:formulaRef>
                      </c:ext>
                    </c:extLst>
                    <c:numCache>
                      <c:formatCode>#,##0</c:formatCode>
                      <c:ptCount val="2"/>
                      <c:pt idx="0">
                        <c:v>38608</c:v>
                      </c:pt>
                      <c:pt idx="1">
                        <c:v>58725.082111772426</c:v>
                      </c:pt>
                    </c:numCache>
                  </c:numRef>
                </c:val>
                <c:extLst>
                  <c:ext xmlns:c16="http://schemas.microsoft.com/office/drawing/2014/chart" uri="{C3380CC4-5D6E-409C-BE32-E72D297353CC}">
                    <c16:uniqueId val="{00000005-97F3-42D2-94BA-5A439A3AE3E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'Facility Index Tool'!$C$17</c15:sqref>
                        </c15:formulaRef>
                      </c:ext>
                    </c:extLst>
                    <c:strCache>
                      <c:ptCount val="1"/>
                      <c:pt idx="0">
                        <c:v>Number of charter schools</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'Facility Index Tool'!$D$15:$E$15</c15:sqref>
                        </c15:formulaRef>
                      </c:ext>
                    </c:extLst>
                    <c:strCache>
                      <c:ptCount val="2"/>
                      <c:pt idx="0">
                        <c:v> Current
(FY 2020)</c:v>
                      </c:pt>
                      <c:pt idx="1">
                        <c:v>Projected
(FY 2025)</c:v>
                      </c:pt>
                    </c:strCache>
                  </c:strRef>
                </c:cat>
                <c:val>
                  <c:numRef>
                    <c:extLst xmlns:c15="http://schemas.microsoft.com/office/drawing/2012/chart">
                      <c:ext xmlns:c15="http://schemas.microsoft.com/office/drawing/2012/chart" uri="{02D57815-91ED-43cb-92C2-25804820EDAC}">
                        <c15:formulaRef>
                          <c15:sqref>'Facility Index Tool'!$D$17:$E$17</c15:sqref>
                        </c15:formulaRef>
                      </c:ext>
                    </c:extLst>
                    <c:numCache>
                      <c:formatCode>#,##0</c:formatCode>
                      <c:ptCount val="2"/>
                      <c:pt idx="0">
                        <c:v>98</c:v>
                      </c:pt>
                      <c:pt idx="1">
                        <c:v>133</c:v>
                      </c:pt>
                    </c:numCache>
                  </c:numRef>
                </c:val>
                <c:extLst xmlns:c15="http://schemas.microsoft.com/office/drawing/2012/chart">
                  <c:ext xmlns:c16="http://schemas.microsoft.com/office/drawing/2014/chart" uri="{C3380CC4-5D6E-409C-BE32-E72D297353CC}">
                    <c16:uniqueId val="{00000006-97F3-42D2-94BA-5A439A3AE3E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'Facility Index Tool'!$C$18</c15:sqref>
                        </c15:formulaRef>
                      </c:ext>
                    </c:extLst>
                    <c:strCache>
                      <c:ptCount val="1"/>
                      <c:pt idx="0">
                        <c:v>Charter School Facility Index</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'Facility Index Tool'!$D$15:$E$15</c15:sqref>
                        </c15:formulaRef>
                      </c:ext>
                    </c:extLst>
                    <c:strCache>
                      <c:ptCount val="2"/>
                      <c:pt idx="0">
                        <c:v> Current
(FY 2020)</c:v>
                      </c:pt>
                      <c:pt idx="1">
                        <c:v>Projected
(FY 2025)</c:v>
                      </c:pt>
                    </c:strCache>
                  </c:strRef>
                </c:cat>
                <c:val>
                  <c:numRef>
                    <c:extLst xmlns:c15="http://schemas.microsoft.com/office/drawing/2012/chart">
                      <c:ext xmlns:c15="http://schemas.microsoft.com/office/drawing/2012/chart" uri="{02D57815-91ED-43cb-92C2-25804820EDAC}">
                        <c15:formulaRef>
                          <c15:sqref>'Facility Index Tool'!$D$18:$E$18</c15:sqref>
                        </c15:formulaRef>
                      </c:ext>
                    </c:extLst>
                    <c:numCache>
                      <c:formatCode>0.0%</c:formatCode>
                      <c:ptCount val="2"/>
                      <c:pt idx="0">
                        <c:v>0.39860703654117868</c:v>
                      </c:pt>
                      <c:pt idx="1">
                        <c:v>0.35764621565205679</c:v>
                      </c:pt>
                    </c:numCache>
                  </c:numRef>
                </c:val>
                <c:extLst xmlns:c15="http://schemas.microsoft.com/office/drawing/2012/chart">
                  <c:ext xmlns:c16="http://schemas.microsoft.com/office/drawing/2014/chart" uri="{C3380CC4-5D6E-409C-BE32-E72D297353CC}">
                    <c16:uniqueId val="{00000007-97F3-42D2-94BA-5A439A3AE3E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'Facility Index Tool'!$C$20</c15:sqref>
                        </c15:formulaRef>
                      </c:ext>
                    </c:extLst>
                    <c:strCache>
                      <c:ptCount val="1"/>
                      <c:pt idx="0">
                        <c:v>Facility gap per student</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'Facility Index Tool'!$D$15:$E$15</c15:sqref>
                        </c15:formulaRef>
                      </c:ext>
                    </c:extLst>
                    <c:strCache>
                      <c:ptCount val="2"/>
                      <c:pt idx="0">
                        <c:v> Current
(FY 2020)</c:v>
                      </c:pt>
                      <c:pt idx="1">
                        <c:v>Projected
(FY 2025)</c:v>
                      </c:pt>
                    </c:strCache>
                  </c:strRef>
                </c:cat>
                <c:val>
                  <c:numRef>
                    <c:extLst xmlns:c15="http://schemas.microsoft.com/office/drawing/2012/chart">
                      <c:ext xmlns:c15="http://schemas.microsoft.com/office/drawing/2012/chart" uri="{02D57815-91ED-43cb-92C2-25804820EDAC}">
                        <c15:formulaRef>
                          <c15:sqref>'Facility Index Tool'!$D$20:$E$20</c15:sqref>
                        </c15:formulaRef>
                      </c:ext>
                    </c:extLst>
                    <c:numCache>
                      <c:formatCode>"$"#,##0</c:formatCode>
                      <c:ptCount val="2"/>
                      <c:pt idx="0">
                        <c:v>1072.2724077986618</c:v>
                      </c:pt>
                      <c:pt idx="1">
                        <c:v>1295.8072405511778</c:v>
                      </c:pt>
                    </c:numCache>
                  </c:numRef>
                </c:val>
                <c:extLst xmlns:c15="http://schemas.microsoft.com/office/drawing/2012/chart">
                  <c:ext xmlns:c16="http://schemas.microsoft.com/office/drawing/2014/chart" uri="{C3380CC4-5D6E-409C-BE32-E72D297353CC}">
                    <c16:uniqueId val="{00000004-97F3-42D2-94BA-5A439A3AE3E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'Facility Index Tool'!$C$21</c15:sqref>
                        </c15:formulaRef>
                      </c:ext>
                    </c:extLst>
                    <c:strCache>
                      <c:ptCount val="1"/>
                      <c:pt idx="0">
                        <c:v>Teachers that an average-sized charter school cannot hire because its facility are not needs fully met</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'Facility Index Tool'!$D$15:$E$15</c15:sqref>
                        </c15:formulaRef>
                      </c:ext>
                    </c:extLst>
                    <c:strCache>
                      <c:ptCount val="2"/>
                      <c:pt idx="0">
                        <c:v> Current
(FY 2020)</c:v>
                      </c:pt>
                      <c:pt idx="1">
                        <c:v>Projected
(FY 2025)</c:v>
                      </c:pt>
                    </c:strCache>
                  </c:strRef>
                </c:cat>
                <c:val>
                  <c:numRef>
                    <c:extLst xmlns:c15="http://schemas.microsoft.com/office/drawing/2012/chart">
                      <c:ext xmlns:c15="http://schemas.microsoft.com/office/drawing/2012/chart" uri="{02D57815-91ED-43cb-92C2-25804820EDAC}">
                        <c15:formulaRef>
                          <c15:sqref>'Facility Index Tool'!$D$21:$E$21</c15:sqref>
                        </c15:formulaRef>
                      </c:ext>
                    </c:extLst>
                    <c:numCache>
                      <c:formatCode>0</c:formatCode>
                      <c:ptCount val="2"/>
                      <c:pt idx="0">
                        <c:v>8.411955124695254</c:v>
                      </c:pt>
                      <c:pt idx="1">
                        <c:v>11.393390472037728</c:v>
                      </c:pt>
                    </c:numCache>
                  </c:numRef>
                </c:val>
                <c:extLst xmlns:c15="http://schemas.microsoft.com/office/drawing/2012/chart">
                  <c:ext xmlns:c16="http://schemas.microsoft.com/office/drawing/2014/chart" uri="{C3380CC4-5D6E-409C-BE32-E72D297353CC}">
                    <c16:uniqueId val="{00000009-97F3-42D2-94BA-5A439A3AE3EC}"/>
                  </c:ext>
                </c:extLst>
              </c15:ser>
            </c15:filteredBarSeries>
          </c:ext>
        </c:extLst>
      </c:barChart>
      <c:catAx>
        <c:axId val="3579051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n-US"/>
          </a:p>
        </c:txPr>
        <c:crossAx val="1924406016"/>
        <c:crosses val="autoZero"/>
        <c:auto val="1"/>
        <c:lblAlgn val="ctr"/>
        <c:lblOffset val="100"/>
        <c:noMultiLvlLbl val="0"/>
      </c:catAx>
      <c:valAx>
        <c:axId val="1924406016"/>
        <c:scaling>
          <c:orientation val="minMax"/>
        </c:scaling>
        <c:delete val="1"/>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crossAx val="357905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sz="1600">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dk1"/>
                </a:solidFill>
                <a:latin typeface="+mn-lt"/>
                <a:ea typeface="+mn-ea"/>
                <a:cs typeface="+mn-cs"/>
              </a:defRPr>
            </a:pPr>
            <a:r>
              <a:rPr lang="en-US" b="1"/>
              <a:t>Per Student Charter School Facility Funding Gap</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'Facility Index Tool'!$C$20</c:f>
              <c:strCache>
                <c:ptCount val="1"/>
                <c:pt idx="0">
                  <c:v>Facility gap per student</c:v>
                </c:pt>
              </c:strCache>
            </c:strRef>
          </c:tx>
          <c:spPr>
            <a:solidFill>
              <a:schemeClr val="accent1"/>
            </a:solidFill>
            <a:ln>
              <a:solidFill>
                <a:schemeClr val="tx1"/>
              </a:solidFill>
            </a:ln>
            <a:effectLst/>
          </c:spPr>
          <c:invertIfNegative val="0"/>
          <c:dPt>
            <c:idx val="0"/>
            <c:invertIfNegative val="0"/>
            <c:bubble3D val="0"/>
            <c:spPr>
              <a:solidFill>
                <a:schemeClr val="accent5">
                  <a:lumMod val="60000"/>
                  <a:lumOff val="40000"/>
                </a:schemeClr>
              </a:solidFill>
              <a:ln>
                <a:solidFill>
                  <a:schemeClr val="tx1"/>
                </a:solidFill>
              </a:ln>
              <a:effectLst/>
            </c:spPr>
            <c:extLst>
              <c:ext xmlns:c16="http://schemas.microsoft.com/office/drawing/2014/chart" uri="{C3380CC4-5D6E-409C-BE32-E72D297353CC}">
                <c16:uniqueId val="{0000000B-1E5D-4076-99DE-B84663C70BA9}"/>
              </c:ext>
            </c:extLst>
          </c:dPt>
          <c:dPt>
            <c:idx val="1"/>
            <c:invertIfNegative val="0"/>
            <c:bubble3D val="0"/>
            <c:spPr>
              <a:solidFill>
                <a:srgbClr val="002060"/>
              </a:solidFill>
              <a:ln>
                <a:solidFill>
                  <a:schemeClr val="tx1"/>
                </a:solidFill>
              </a:ln>
              <a:effectLst/>
            </c:spPr>
            <c:extLst>
              <c:ext xmlns:c16="http://schemas.microsoft.com/office/drawing/2014/chart" uri="{C3380CC4-5D6E-409C-BE32-E72D297353CC}">
                <c16:uniqueId val="{0000000C-1E5D-4076-99DE-B84663C70BA9}"/>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'Facility Index Tool'!$D$15:$E$15</c:f>
              <c:strCache>
                <c:ptCount val="2"/>
                <c:pt idx="0">
                  <c:v> Current
(FY 2020)</c:v>
                </c:pt>
                <c:pt idx="1">
                  <c:v>Projected
(FY 2025)</c:v>
                </c:pt>
              </c:strCache>
            </c:strRef>
          </c:cat>
          <c:val>
            <c:numRef>
              <c:f>'Facility Index Tool'!$D$20:$E$20</c:f>
              <c:numCache>
                <c:formatCode>"$"#,##0</c:formatCode>
                <c:ptCount val="2"/>
                <c:pt idx="0">
                  <c:v>1072.2724077986618</c:v>
                </c:pt>
                <c:pt idx="1">
                  <c:v>1295.8072405511778</c:v>
                </c:pt>
              </c:numCache>
            </c:numRef>
          </c:val>
          <c:extLst xmlns:c15="http://schemas.microsoft.com/office/drawing/2012/chart">
            <c:ext xmlns:c16="http://schemas.microsoft.com/office/drawing/2014/chart" uri="{C3380CC4-5D6E-409C-BE32-E72D297353CC}">
              <c16:uniqueId val="{00000005-1E5D-4076-99DE-B84663C70BA9}"/>
            </c:ext>
          </c:extLst>
        </c:ser>
        <c:dLbls>
          <c:dLblPos val="outEnd"/>
          <c:showLegendKey val="0"/>
          <c:showVal val="1"/>
          <c:showCatName val="0"/>
          <c:showSerName val="0"/>
          <c:showPercent val="0"/>
          <c:showBubbleSize val="0"/>
        </c:dLbls>
        <c:gapWidth val="67"/>
        <c:overlap val="-27"/>
        <c:axId val="357905120"/>
        <c:axId val="1924406016"/>
        <c:extLst/>
      </c:barChart>
      <c:catAx>
        <c:axId val="35790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n-US"/>
          </a:p>
        </c:txPr>
        <c:crossAx val="1924406016"/>
        <c:crosses val="autoZero"/>
        <c:auto val="1"/>
        <c:lblAlgn val="ctr"/>
        <c:lblOffset val="100"/>
        <c:noMultiLvlLbl val="0"/>
      </c:catAx>
      <c:valAx>
        <c:axId val="192440601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dk1"/>
                </a:solidFill>
                <a:latin typeface="+mn-lt"/>
                <a:ea typeface="+mn-ea"/>
                <a:cs typeface="+mn-cs"/>
              </a:defRPr>
            </a:pPr>
            <a:endParaRPr lang="en-US"/>
          </a:p>
        </c:txPr>
        <c:crossAx val="357905120"/>
        <c:crosses val="autoZero"/>
        <c:crossBetween val="between"/>
        <c:majorUnit val="5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sz="1400">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56EC70F-7667-4A79-AD8A-24C7017A6651}">
  <sheetPr/>
  <sheetViews>
    <sheetView zoomScale="62"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358442B-867D-4FEA-9C7C-66A999303BFA}">
  <sheetPr/>
  <sheetViews>
    <sheetView zoomScale="62"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0</xdr:col>
      <xdr:colOff>304802</xdr:colOff>
      <xdr:row>35</xdr:row>
      <xdr:rowOff>86480</xdr:rowOff>
    </xdr:from>
    <xdr:to>
      <xdr:col>3</xdr:col>
      <xdr:colOff>825500</xdr:colOff>
      <xdr:row>49</xdr:row>
      <xdr:rowOff>152400</xdr:rowOff>
    </xdr:to>
    <xdr:graphicFrame macro="">
      <xdr:nvGraphicFramePr>
        <xdr:cNvPr id="12" name="Chart 6">
          <a:extLst>
            <a:ext uri="{FF2B5EF4-FFF2-40B4-BE49-F238E27FC236}">
              <a16:creationId xmlns:a16="http://schemas.microsoft.com/office/drawing/2014/main" id="{8B00A56F-9569-49C8-8C20-8879AA50E8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1051978</xdr:colOff>
      <xdr:row>35</xdr:row>
      <xdr:rowOff>65616</xdr:rowOff>
    </xdr:from>
    <xdr:to>
      <xdr:col>5</xdr:col>
      <xdr:colOff>127001</xdr:colOff>
      <xdr:row>49</xdr:row>
      <xdr:rowOff>137583</xdr:rowOff>
    </xdr:to>
    <xdr:graphicFrame macro="">
      <xdr:nvGraphicFramePr>
        <xdr:cNvPr id="3" name="Chart 9">
          <a:extLst>
            <a:ext uri="{FF2B5EF4-FFF2-40B4-BE49-F238E27FC236}">
              <a16:creationId xmlns:a16="http://schemas.microsoft.com/office/drawing/2014/main" id="{0ED95541-66D5-48B0-A14E-059030A0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1062562</xdr:colOff>
      <xdr:row>51</xdr:row>
      <xdr:rowOff>63501</xdr:rowOff>
    </xdr:from>
    <xdr:to>
      <xdr:col>5</xdr:col>
      <xdr:colOff>169335</xdr:colOff>
      <xdr:row>66</xdr:row>
      <xdr:rowOff>40641</xdr:rowOff>
    </xdr:to>
    <xdr:graphicFrame macro="">
      <xdr:nvGraphicFramePr>
        <xdr:cNvPr id="6" name="Chart 10">
          <a:extLst>
            <a:ext uri="{FF2B5EF4-FFF2-40B4-BE49-F238E27FC236}">
              <a16:creationId xmlns:a16="http://schemas.microsoft.com/office/drawing/2014/main" id="{EE01E84B-CF5A-4CFD-8780-77BB9B3531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50798</xdr:colOff>
      <xdr:row>22</xdr:row>
      <xdr:rowOff>330200</xdr:rowOff>
    </xdr:from>
    <xdr:to>
      <xdr:col>15</xdr:col>
      <xdr:colOff>370417</xdr:colOff>
      <xdr:row>33</xdr:row>
      <xdr:rowOff>203200</xdr:rowOff>
    </xdr:to>
    <xdr:graphicFrame macro="">
      <xdr:nvGraphicFramePr>
        <xdr:cNvPr id="7" name="Chart 11">
          <a:extLst>
            <a:ext uri="{FF2B5EF4-FFF2-40B4-BE49-F238E27FC236}">
              <a16:creationId xmlns:a16="http://schemas.microsoft.com/office/drawing/2014/main" id="{87FA642F-1E16-411D-808A-320D6E8656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391575</xdr:colOff>
      <xdr:row>35</xdr:row>
      <xdr:rowOff>76201</xdr:rowOff>
    </xdr:from>
    <xdr:to>
      <xdr:col>15</xdr:col>
      <xdr:colOff>402167</xdr:colOff>
      <xdr:row>49</xdr:row>
      <xdr:rowOff>137584</xdr:rowOff>
    </xdr:to>
    <xdr:graphicFrame macro="">
      <xdr:nvGraphicFramePr>
        <xdr:cNvPr id="93" name="Chart 12">
          <a:extLst>
            <a:ext uri="{FF2B5EF4-FFF2-40B4-BE49-F238E27FC236}">
              <a16:creationId xmlns:a16="http://schemas.microsoft.com/office/drawing/2014/main" id="{151EF160-E60B-4E75-9B9F-BFB839CED9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292100</xdr:colOff>
      <xdr:row>51</xdr:row>
      <xdr:rowOff>50799</xdr:rowOff>
    </xdr:from>
    <xdr:to>
      <xdr:col>3</xdr:col>
      <xdr:colOff>857250</xdr:colOff>
      <xdr:row>71</xdr:row>
      <xdr:rowOff>127000</xdr:rowOff>
    </xdr:to>
    <xdr:graphicFrame macro="">
      <xdr:nvGraphicFramePr>
        <xdr:cNvPr id="10" name="Chart 13">
          <a:extLst>
            <a:ext uri="{FF2B5EF4-FFF2-40B4-BE49-F238E27FC236}">
              <a16:creationId xmlns:a16="http://schemas.microsoft.com/office/drawing/2014/main" id="{22AC3398-423C-4CB1-A4A1-51E179DC9F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132291</xdr:colOff>
      <xdr:row>4</xdr:row>
      <xdr:rowOff>15874</xdr:rowOff>
    </xdr:from>
    <xdr:to>
      <xdr:col>9</xdr:col>
      <xdr:colOff>878416</xdr:colOff>
      <xdr:row>13</xdr:row>
      <xdr:rowOff>455082</xdr:rowOff>
    </xdr:to>
    <xdr:graphicFrame macro="">
      <xdr:nvGraphicFramePr>
        <xdr:cNvPr id="72" name="Chart 11">
          <a:extLst>
            <a:ext uri="{FF2B5EF4-FFF2-40B4-BE49-F238E27FC236}">
              <a16:creationId xmlns:a16="http://schemas.microsoft.com/office/drawing/2014/main" id="{53EEB0F7-13A4-491D-BCF5-F77D46566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142874</xdr:colOff>
      <xdr:row>13</xdr:row>
      <xdr:rowOff>550332</xdr:rowOff>
    </xdr:from>
    <xdr:to>
      <xdr:col>15</xdr:col>
      <xdr:colOff>370417</xdr:colOff>
      <xdr:row>21</xdr:row>
      <xdr:rowOff>332316</xdr:rowOff>
    </xdr:to>
    <xdr:graphicFrame macro="">
      <xdr:nvGraphicFramePr>
        <xdr:cNvPr id="88" name="Chart 12">
          <a:extLst>
            <a:ext uri="{FF2B5EF4-FFF2-40B4-BE49-F238E27FC236}">
              <a16:creationId xmlns:a16="http://schemas.microsoft.com/office/drawing/2014/main" id="{E0B8AEC3-C6BA-4FAE-A4E3-B758565BD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21167</xdr:colOff>
      <xdr:row>4</xdr:row>
      <xdr:rowOff>10582</xdr:rowOff>
    </xdr:from>
    <xdr:to>
      <xdr:col>15</xdr:col>
      <xdr:colOff>393699</xdr:colOff>
      <xdr:row>9</xdr:row>
      <xdr:rowOff>687917</xdr:rowOff>
    </xdr:to>
    <xdr:graphicFrame macro="">
      <xdr:nvGraphicFramePr>
        <xdr:cNvPr id="63" name="Chart 6">
          <a:extLst>
            <a:ext uri="{FF2B5EF4-FFF2-40B4-BE49-F238E27FC236}">
              <a16:creationId xmlns:a16="http://schemas.microsoft.com/office/drawing/2014/main" id="{DE28B55B-75D2-4D7F-83C1-2578C922DA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31750</xdr:colOff>
      <xdr:row>9</xdr:row>
      <xdr:rowOff>772584</xdr:rowOff>
    </xdr:from>
    <xdr:to>
      <xdr:col>15</xdr:col>
      <xdr:colOff>381000</xdr:colOff>
      <xdr:row>13</xdr:row>
      <xdr:rowOff>444500</xdr:rowOff>
    </xdr:to>
    <xdr:graphicFrame macro="">
      <xdr:nvGraphicFramePr>
        <xdr:cNvPr id="94" name="Chart 13">
          <a:extLst>
            <a:ext uri="{FF2B5EF4-FFF2-40B4-BE49-F238E27FC236}">
              <a16:creationId xmlns:a16="http://schemas.microsoft.com/office/drawing/2014/main" id="{C646729B-E920-4A02-9E47-75A7DBBCC3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4677" cy="6288548"/>
    <xdr:graphicFrame macro="">
      <xdr:nvGraphicFramePr>
        <xdr:cNvPr id="2" name="Chart 1">
          <a:extLst>
            <a:ext uri="{FF2B5EF4-FFF2-40B4-BE49-F238E27FC236}">
              <a16:creationId xmlns:a16="http://schemas.microsoft.com/office/drawing/2014/main" id="{C3D075AB-E0D8-4326-BC32-2372B2D63C2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4677" cy="6288548"/>
    <xdr:graphicFrame macro="">
      <xdr:nvGraphicFramePr>
        <xdr:cNvPr id="2" name="Chart 1">
          <a:extLst>
            <a:ext uri="{FF2B5EF4-FFF2-40B4-BE49-F238E27FC236}">
              <a16:creationId xmlns:a16="http://schemas.microsoft.com/office/drawing/2014/main" id="{8D13A73A-7D8D-4587-95FA-25868831E3F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9</xdr:col>
      <xdr:colOff>282576</xdr:colOff>
      <xdr:row>2</xdr:row>
      <xdr:rowOff>295280</xdr:rowOff>
    </xdr:from>
    <xdr:to>
      <xdr:col>18</xdr:col>
      <xdr:colOff>185208</xdr:colOff>
      <xdr:row>14</xdr:row>
      <xdr:rowOff>322789</xdr:rowOff>
    </xdr:to>
    <xdr:graphicFrame macro="">
      <xdr:nvGraphicFramePr>
        <xdr:cNvPr id="2" name="Chart 1">
          <a:extLst>
            <a:ext uri="{FF2B5EF4-FFF2-40B4-BE49-F238E27FC236}">
              <a16:creationId xmlns:a16="http://schemas.microsoft.com/office/drawing/2014/main" id="{76CD104D-23BF-4559-8824-B6CC84619C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740038</xdr:colOff>
      <xdr:row>18</xdr:row>
      <xdr:rowOff>112447</xdr:rowOff>
    </xdr:from>
    <xdr:to>
      <xdr:col>7</xdr:col>
      <xdr:colOff>301623</xdr:colOff>
      <xdr:row>34</xdr:row>
      <xdr:rowOff>93398</xdr:rowOff>
    </xdr:to>
    <xdr:graphicFrame macro="">
      <xdr:nvGraphicFramePr>
        <xdr:cNvPr id="3" name="Chart 2">
          <a:extLst>
            <a:ext uri="{FF2B5EF4-FFF2-40B4-BE49-F238E27FC236}">
              <a16:creationId xmlns:a16="http://schemas.microsoft.com/office/drawing/2014/main" id="{76569DAF-C14A-4EB7-A91A-0ABCEB297E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0</xdr:colOff>
      <xdr:row>3</xdr:row>
      <xdr:rowOff>0</xdr:rowOff>
    </xdr:from>
    <xdr:to>
      <xdr:col>31</xdr:col>
      <xdr:colOff>516465</xdr:colOff>
      <xdr:row>15</xdr:row>
      <xdr:rowOff>6342</xdr:rowOff>
    </xdr:to>
    <xdr:graphicFrame macro="">
      <xdr:nvGraphicFramePr>
        <xdr:cNvPr id="4" name="Chart 3">
          <a:extLst>
            <a:ext uri="{FF2B5EF4-FFF2-40B4-BE49-F238E27FC236}">
              <a16:creationId xmlns:a16="http://schemas.microsoft.com/office/drawing/2014/main" id="{30DD1660-9213-4B01-82A5-ED2D7957CD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402167</xdr:colOff>
      <xdr:row>18</xdr:row>
      <xdr:rowOff>52917</xdr:rowOff>
    </xdr:from>
    <xdr:to>
      <xdr:col>21</xdr:col>
      <xdr:colOff>365919</xdr:colOff>
      <xdr:row>34</xdr:row>
      <xdr:rowOff>33868</xdr:rowOff>
    </xdr:to>
    <xdr:graphicFrame macro="">
      <xdr:nvGraphicFramePr>
        <xdr:cNvPr id="5" name="Chart 4">
          <a:extLst>
            <a:ext uri="{FF2B5EF4-FFF2-40B4-BE49-F238E27FC236}">
              <a16:creationId xmlns:a16="http://schemas.microsoft.com/office/drawing/2014/main" id="{D8F1FB0E-09F1-4205-A9DF-37F9249DA9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Matt Robinson" id="{25ADDDEA-F340-4B3B-920A-0A10579CB8D2}" userId="S::matt@excelined.org::ed417e91-7937-42fb-ab27-d6f0dafcd98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20-04-09T20:17:29.11" personId="{25ADDDEA-F340-4B3B-920A-0A10579CB8D2}" id="{5C75C38C-98D2-4B04-9696-3E3A2F37FE72}">
    <text>Step 1: Verify/Adjust any assumptions
A, B, C (with 1-2 lines per each)
Step 2: View how need is currently being met / could be met through assumptions and current policies
Step 3: Policy Adjustments to meet needs
Step 4: View how need is being met after adjustments and policy changes
2025 Values, not 2020.</text>
  </threadedComment>
</ThreadedComments>
</file>

<file path=xl/worksheets/_rels/sheet1.xml.rels><?xml version="1.0" encoding="UTF-8" standalone="yes"?>
<Relationships xmlns="http://schemas.openxmlformats.org/package/2006/relationships"><Relationship Id="rId2" Type="http://schemas.openxmlformats.org/officeDocument/2006/relationships/hyperlink" Target="https://www.excelined.org/wp-content/uploads/2020/09/ExcelinEd.EducationFunding.BuildingForSuccessInIndiana.2020.pdf" TargetMode="External"/><Relationship Id="rId1" Type="http://schemas.openxmlformats.org/officeDocument/2006/relationships/hyperlink" Target="https://www.excelined.org/wp-content/uploads/2019/10/ExcelinEd.Quality.Funding.CharterFacilityIndex.October2019.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xcelined.org/wp-content/uploads/2020/09/ExcelinEd.EducationFunding.BuildingForSuccessInIndiana.2020.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DB7CD-D318-49AC-B315-0CBEB8767E04}">
  <dimension ref="B1:H17"/>
  <sheetViews>
    <sheetView zoomScale="75" zoomScaleNormal="75" workbookViewId="0">
      <selection activeCell="B7" sqref="B7"/>
    </sheetView>
  </sheetViews>
  <sheetFormatPr defaultColWidth="8.81640625" defaultRowHeight="14.5" x14ac:dyDescent="0.35"/>
  <cols>
    <col min="2" max="6" width="28.7265625" customWidth="1"/>
  </cols>
  <sheetData>
    <row r="1" spans="2:8" ht="21" x14ac:dyDescent="0.5">
      <c r="B1" s="200" t="s">
        <v>0</v>
      </c>
      <c r="C1" s="201"/>
      <c r="D1" s="201"/>
      <c r="E1" s="201"/>
      <c r="F1" s="201"/>
      <c r="G1" s="185"/>
      <c r="H1" s="185"/>
    </row>
    <row r="2" spans="2:8" ht="8.5" customHeight="1" x14ac:dyDescent="0.5">
      <c r="B2" s="182"/>
      <c r="C2" s="183"/>
      <c r="D2" s="183"/>
      <c r="E2" s="183"/>
      <c r="F2" s="183"/>
      <c r="G2" s="185"/>
      <c r="H2" s="185"/>
    </row>
    <row r="3" spans="2:8" ht="24" customHeight="1" x14ac:dyDescent="0.35">
      <c r="B3" s="209" t="s">
        <v>1</v>
      </c>
      <c r="C3" s="210"/>
      <c r="D3" s="210"/>
      <c r="E3" s="210"/>
      <c r="F3" s="211"/>
    </row>
    <row r="4" spans="2:8" ht="66" customHeight="1" x14ac:dyDescent="0.35">
      <c r="B4" s="205" t="s">
        <v>2</v>
      </c>
      <c r="C4" s="206"/>
      <c r="D4" s="206"/>
      <c r="E4" s="206"/>
      <c r="F4" s="207"/>
    </row>
    <row r="5" spans="2:8" ht="48" customHeight="1" x14ac:dyDescent="0.35">
      <c r="B5" s="202" t="s">
        <v>3</v>
      </c>
      <c r="C5" s="203"/>
      <c r="D5" s="203"/>
      <c r="E5" s="203"/>
      <c r="F5" s="204"/>
    </row>
    <row r="6" spans="2:8" ht="19" customHeight="1" x14ac:dyDescent="0.35">
      <c r="B6" s="208" t="s">
        <v>4</v>
      </c>
      <c r="C6" s="208"/>
      <c r="D6" s="208"/>
      <c r="E6" s="208"/>
      <c r="F6" s="208"/>
    </row>
    <row r="7" spans="2:8" ht="13.5" customHeight="1" x14ac:dyDescent="0.35">
      <c r="B7" s="157"/>
      <c r="C7" s="157"/>
      <c r="D7" s="157"/>
      <c r="E7" s="157"/>
      <c r="F7" s="157"/>
    </row>
    <row r="8" spans="2:8" ht="22" customHeight="1" x14ac:dyDescent="0.35">
      <c r="B8" s="212" t="s">
        <v>5</v>
      </c>
      <c r="C8" s="213"/>
      <c r="D8" s="213"/>
      <c r="E8" s="213"/>
      <c r="F8" s="214"/>
    </row>
    <row r="9" spans="2:8" ht="94.5" customHeight="1" x14ac:dyDescent="0.35">
      <c r="B9" s="202" t="s">
        <v>358</v>
      </c>
      <c r="C9" s="203"/>
      <c r="D9" s="203"/>
      <c r="E9" s="203"/>
      <c r="F9" s="204"/>
    </row>
    <row r="10" spans="2:8" ht="45.75" customHeight="1" x14ac:dyDescent="0.35">
      <c r="B10" s="202" t="s">
        <v>6</v>
      </c>
      <c r="C10" s="203"/>
      <c r="D10" s="203"/>
      <c r="E10" s="203"/>
      <c r="F10" s="204"/>
    </row>
    <row r="11" spans="2:8" ht="32.25" customHeight="1" x14ac:dyDescent="0.35">
      <c r="B11" s="202" t="s">
        <v>359</v>
      </c>
      <c r="C11" s="203"/>
      <c r="D11" s="203"/>
      <c r="E11" s="203"/>
      <c r="F11" s="204"/>
    </row>
    <row r="12" spans="2:8" ht="46.5" customHeight="1" x14ac:dyDescent="0.35">
      <c r="B12" s="202" t="s">
        <v>360</v>
      </c>
      <c r="C12" s="203"/>
      <c r="D12" s="203"/>
      <c r="E12" s="203"/>
      <c r="F12" s="204"/>
    </row>
    <row r="13" spans="2:8" ht="59.25" customHeight="1" x14ac:dyDescent="0.35">
      <c r="B13" s="194" t="s">
        <v>7</v>
      </c>
      <c r="C13" s="195"/>
      <c r="D13" s="195"/>
      <c r="E13" s="195"/>
      <c r="F13" s="196"/>
    </row>
    <row r="14" spans="2:8" ht="48.75" customHeight="1" x14ac:dyDescent="0.35">
      <c r="B14" s="202" t="s">
        <v>361</v>
      </c>
      <c r="C14" s="203"/>
      <c r="D14" s="203"/>
      <c r="E14" s="203"/>
      <c r="F14" s="204"/>
    </row>
    <row r="15" spans="2:8" ht="20.25" customHeight="1" x14ac:dyDescent="0.35">
      <c r="B15" s="194" t="s">
        <v>8</v>
      </c>
      <c r="C15" s="195"/>
      <c r="D15" s="195"/>
      <c r="E15" s="195"/>
      <c r="F15" s="196"/>
    </row>
    <row r="16" spans="2:8" ht="46.5" customHeight="1" x14ac:dyDescent="0.35">
      <c r="B16" s="194" t="s">
        <v>9</v>
      </c>
      <c r="C16" s="195"/>
      <c r="D16" s="195"/>
      <c r="E16" s="195"/>
      <c r="F16" s="196"/>
    </row>
    <row r="17" spans="2:6" ht="19.5" customHeight="1" x14ac:dyDescent="0.35">
      <c r="B17" s="197" t="s">
        <v>365</v>
      </c>
      <c r="C17" s="198"/>
      <c r="D17" s="198"/>
      <c r="E17" s="198"/>
      <c r="F17" s="199"/>
    </row>
  </sheetData>
  <mergeCells count="15">
    <mergeCell ref="B16:F16"/>
    <mergeCell ref="B17:F17"/>
    <mergeCell ref="B1:F1"/>
    <mergeCell ref="B10:F10"/>
    <mergeCell ref="B11:F11"/>
    <mergeCell ref="B12:F12"/>
    <mergeCell ref="B13:F13"/>
    <mergeCell ref="B14:F14"/>
    <mergeCell ref="B15:F15"/>
    <mergeCell ref="B4:F4"/>
    <mergeCell ref="B5:F5"/>
    <mergeCell ref="B6:F6"/>
    <mergeCell ref="B3:F3"/>
    <mergeCell ref="B8:F8"/>
    <mergeCell ref="B9:F9"/>
  </mergeCells>
  <hyperlinks>
    <hyperlink ref="B6:F6" r:id="rId1" display="For more details on the Charter School Facility Index and its benefits, see ExcelinEd, Building for Success: How States Can Address Charter School Facility Needs (2019)." xr:uid="{B022FDED-F4C3-4BB3-B322-C4A4FFE1D478}"/>
    <hyperlink ref="B17:F17" r:id="rId2" display="For more information about sources and assumptions, see ExcelinEd, Building for Success in Indiana (2020)." xr:uid="{FC566BA3-A2E0-A145-8623-EFCB91B961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B629E-A271-4688-BF64-01005257E612}">
  <dimension ref="A1:AR134"/>
  <sheetViews>
    <sheetView tabSelected="1" zoomScale="70" zoomScaleNormal="70" workbookViewId="0">
      <selection activeCell="G5" sqref="G5"/>
    </sheetView>
  </sheetViews>
  <sheetFormatPr defaultColWidth="8.81640625" defaultRowHeight="14.5" x14ac:dyDescent="0.35"/>
  <cols>
    <col min="1" max="2" width="5.26953125" customWidth="1"/>
    <col min="3" max="3" width="31.26953125" customWidth="1"/>
    <col min="4" max="4" width="30.1796875" customWidth="1"/>
    <col min="5" max="5" width="28.1796875" customWidth="1"/>
    <col min="6" max="6" width="17.1796875" customWidth="1"/>
    <col min="7" max="7" width="18.453125" customWidth="1"/>
    <col min="8" max="9" width="18.1796875" customWidth="1"/>
    <col min="10" max="10" width="14.453125" customWidth="1"/>
  </cols>
  <sheetData>
    <row r="1" spans="1:44" s="193" customFormat="1" ht="31" customHeight="1" x14ac:dyDescent="0.35">
      <c r="B1" s="223" t="s">
        <v>0</v>
      </c>
      <c r="C1" s="224"/>
      <c r="D1" s="224"/>
      <c r="E1" s="224"/>
      <c r="F1" s="224"/>
      <c r="G1" s="224"/>
      <c r="H1" s="225"/>
      <c r="I1" s="225"/>
      <c r="J1" s="225"/>
      <c r="K1" s="225"/>
      <c r="L1" s="225"/>
      <c r="M1" s="225"/>
      <c r="N1" s="225"/>
      <c r="O1" s="225"/>
    </row>
    <row r="2" spans="1:44" ht="15.5" x14ac:dyDescent="0.35">
      <c r="A2" s="97"/>
      <c r="B2" s="226" t="s">
        <v>364</v>
      </c>
      <c r="C2" s="226"/>
      <c r="D2" s="226"/>
      <c r="E2" s="226"/>
      <c r="F2" s="226"/>
      <c r="G2" s="226"/>
      <c r="H2" s="226"/>
      <c r="I2" s="226"/>
      <c r="J2" s="226"/>
      <c r="K2" s="226"/>
      <c r="L2" s="226"/>
      <c r="M2" s="226"/>
      <c r="N2" s="226"/>
      <c r="O2" s="226"/>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row>
    <row r="3" spans="1:44" s="192" customFormat="1" ht="15.5" x14ac:dyDescent="0.35">
      <c r="A3" s="190"/>
      <c r="B3" s="227" t="s">
        <v>366</v>
      </c>
      <c r="C3" s="227"/>
      <c r="D3" s="227"/>
      <c r="E3" s="227"/>
      <c r="F3" s="227"/>
      <c r="G3" s="227"/>
      <c r="H3" s="227"/>
      <c r="I3" s="227"/>
      <c r="J3" s="227"/>
      <c r="K3" s="227"/>
      <c r="L3" s="227"/>
      <c r="M3" s="227"/>
      <c r="N3" s="227"/>
      <c r="O3" s="227"/>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row>
    <row r="4" spans="1:44" x14ac:dyDescent="0.35">
      <c r="A4" s="97"/>
      <c r="B4" s="189"/>
      <c r="C4" s="189"/>
      <c r="D4" s="189"/>
      <c r="E4" s="189"/>
      <c r="F4" s="189"/>
      <c r="G4" s="189"/>
      <c r="H4" s="189"/>
      <c r="I4" s="189"/>
      <c r="J4" s="189"/>
      <c r="K4" s="189"/>
      <c r="L4" s="189"/>
      <c r="M4" s="189"/>
      <c r="N4" s="189"/>
      <c r="O4" s="189"/>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row>
    <row r="5" spans="1:44" ht="18.75" customHeight="1" x14ac:dyDescent="0.45">
      <c r="A5" s="97"/>
      <c r="B5" s="78"/>
      <c r="C5" s="188" t="s">
        <v>10</v>
      </c>
      <c r="D5" s="188"/>
      <c r="E5" s="186"/>
      <c r="F5" s="186"/>
      <c r="G5" s="187"/>
      <c r="H5" s="159"/>
      <c r="I5" s="118"/>
      <c r="J5" s="116"/>
      <c r="K5" s="97"/>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row>
    <row r="6" spans="1:44" ht="24" customHeight="1" x14ac:dyDescent="0.35">
      <c r="A6" s="97"/>
      <c r="B6" s="79"/>
      <c r="C6" s="215" t="s">
        <v>11</v>
      </c>
      <c r="D6" s="215"/>
      <c r="E6" s="215"/>
      <c r="F6" s="215"/>
      <c r="G6" s="216"/>
      <c r="H6" s="159"/>
      <c r="I6" s="118"/>
      <c r="J6" s="116"/>
      <c r="K6" s="97"/>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row>
    <row r="7" spans="1:44" ht="25.5" customHeight="1" x14ac:dyDescent="0.35">
      <c r="A7" s="97"/>
      <c r="B7" s="79"/>
      <c r="C7" s="217"/>
      <c r="D7" s="217"/>
      <c r="E7" s="217"/>
      <c r="F7" s="217"/>
      <c r="G7" s="218"/>
      <c r="H7" s="160"/>
      <c r="I7" s="97"/>
      <c r="J7" s="97"/>
      <c r="K7" s="97"/>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row>
    <row r="8" spans="1:44" ht="34" customHeight="1" x14ac:dyDescent="0.35">
      <c r="A8" s="97"/>
      <c r="B8" s="79"/>
      <c r="C8" s="155" t="s">
        <v>12</v>
      </c>
      <c r="D8" s="233" t="s">
        <v>13</v>
      </c>
      <c r="E8" s="234"/>
      <c r="F8" s="156" t="s">
        <v>14</v>
      </c>
      <c r="G8" s="155" t="s">
        <v>15</v>
      </c>
      <c r="H8" s="184"/>
      <c r="I8" s="97"/>
      <c r="J8" s="97"/>
      <c r="K8" s="97"/>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row>
    <row r="9" spans="1:44" ht="30.75" customHeight="1" x14ac:dyDescent="0.35">
      <c r="A9" s="97"/>
      <c r="B9" s="79"/>
      <c r="C9" s="123" t="s">
        <v>16</v>
      </c>
      <c r="D9" s="235" t="s">
        <v>17</v>
      </c>
      <c r="E9" s="236"/>
      <c r="F9" s="120" t="s">
        <v>18</v>
      </c>
      <c r="G9" s="150" t="s">
        <v>18</v>
      </c>
      <c r="H9" s="160"/>
      <c r="I9" s="97"/>
      <c r="J9" s="97"/>
      <c r="K9" s="97"/>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row>
    <row r="10" spans="1:44" ht="95.5" customHeight="1" x14ac:dyDescent="0.35">
      <c r="A10" s="97"/>
      <c r="B10" s="79"/>
      <c r="C10" s="123" t="s">
        <v>19</v>
      </c>
      <c r="D10" s="235" t="s">
        <v>362</v>
      </c>
      <c r="E10" s="236"/>
      <c r="F10" s="121">
        <v>0.25</v>
      </c>
      <c r="G10" s="151">
        <v>0.25</v>
      </c>
      <c r="H10" s="161"/>
      <c r="I10" s="97"/>
      <c r="J10" s="97"/>
      <c r="K10" s="97"/>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row>
    <row r="11" spans="1:44" ht="49" customHeight="1" x14ac:dyDescent="0.35">
      <c r="A11" s="97"/>
      <c r="B11" s="79"/>
      <c r="C11" s="123" t="s">
        <v>20</v>
      </c>
      <c r="D11" s="235" t="s">
        <v>21</v>
      </c>
      <c r="E11" s="236"/>
      <c r="F11" s="122">
        <v>16000</v>
      </c>
      <c r="G11" s="152">
        <v>16000</v>
      </c>
      <c r="H11" s="162"/>
      <c r="I11" s="97"/>
      <c r="J11" s="97"/>
      <c r="K11" s="97"/>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row>
    <row r="12" spans="1:44" ht="77" customHeight="1" x14ac:dyDescent="0.35">
      <c r="A12" s="97"/>
      <c r="B12" s="79"/>
      <c r="C12" s="123" t="s">
        <v>22</v>
      </c>
      <c r="D12" s="235" t="s">
        <v>23</v>
      </c>
      <c r="E12" s="236"/>
      <c r="F12" s="122">
        <v>935000000</v>
      </c>
      <c r="G12" s="152">
        <v>935000000</v>
      </c>
      <c r="H12" s="162"/>
      <c r="I12" s="97"/>
      <c r="J12" s="97"/>
      <c r="K12" s="97"/>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row>
    <row r="13" spans="1:44" ht="30" customHeight="1" x14ac:dyDescent="0.35">
      <c r="A13" s="97"/>
      <c r="B13" s="79"/>
      <c r="C13" s="219" t="s">
        <v>24</v>
      </c>
      <c r="D13" s="219"/>
      <c r="E13" s="219"/>
      <c r="F13" s="219"/>
      <c r="G13" s="220"/>
      <c r="H13" s="159"/>
      <c r="I13" s="118"/>
      <c r="J13" s="116"/>
      <c r="K13" s="97"/>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row>
    <row r="14" spans="1:44" ht="46" customHeight="1" x14ac:dyDescent="0.35">
      <c r="A14" s="97"/>
      <c r="B14" s="79"/>
      <c r="C14" s="215"/>
      <c r="D14" s="215"/>
      <c r="E14" s="215"/>
      <c r="F14" s="215"/>
      <c r="G14" s="216"/>
      <c r="H14" s="160"/>
      <c r="I14" s="97"/>
      <c r="J14" s="97"/>
      <c r="K14" s="97"/>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row>
    <row r="15" spans="1:44" ht="36" customHeight="1" x14ac:dyDescent="0.35">
      <c r="A15" s="97"/>
      <c r="B15" s="79"/>
      <c r="C15" s="155" t="s">
        <v>25</v>
      </c>
      <c r="D15" s="156" t="s">
        <v>26</v>
      </c>
      <c r="E15" s="158" t="s">
        <v>27</v>
      </c>
      <c r="F15" s="221"/>
      <c r="G15" s="222"/>
      <c r="H15" s="184"/>
      <c r="I15" s="97"/>
      <c r="J15" s="97"/>
      <c r="K15" s="97"/>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row>
    <row r="16" spans="1:44" ht="15.5" x14ac:dyDescent="0.35">
      <c r="A16" s="97"/>
      <c r="B16" s="79"/>
      <c r="C16" s="123" t="s">
        <v>28</v>
      </c>
      <c r="D16" s="136">
        <f>'Data Details'!D7</f>
        <v>38608</v>
      </c>
      <c r="E16" s="146">
        <f>'Data Details'!K7</f>
        <v>58725.082111772426</v>
      </c>
      <c r="F16" s="237"/>
      <c r="G16" s="222"/>
      <c r="H16" s="160"/>
      <c r="I16" s="97"/>
      <c r="J16" s="97"/>
      <c r="K16" s="97"/>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row>
    <row r="17" spans="1:43" ht="15.5" x14ac:dyDescent="0.35">
      <c r="A17" s="97"/>
      <c r="B17" s="79"/>
      <c r="C17" s="123" t="s">
        <v>29</v>
      </c>
      <c r="D17" s="136">
        <f>'Data Details'!D20</f>
        <v>98</v>
      </c>
      <c r="E17" s="146">
        <f>'Data Details'!K20</f>
        <v>133</v>
      </c>
      <c r="F17" s="237"/>
      <c r="G17" s="222"/>
      <c r="H17" s="161"/>
      <c r="I17" s="97"/>
      <c r="J17" s="97"/>
      <c r="K17" s="97"/>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row>
    <row r="18" spans="1:43" ht="15.5" x14ac:dyDescent="0.35">
      <c r="A18" s="97"/>
      <c r="B18" s="79"/>
      <c r="C18" s="123" t="s">
        <v>30</v>
      </c>
      <c r="D18" s="138">
        <f>'Data Details'!E79</f>
        <v>0.39860703654117868</v>
      </c>
      <c r="E18" s="147">
        <f>'Data Details'!G79</f>
        <v>0.35764621565205679</v>
      </c>
      <c r="F18" s="238"/>
      <c r="G18" s="222"/>
      <c r="H18" s="161"/>
      <c r="I18" s="97"/>
      <c r="J18" s="97"/>
      <c r="K18" s="97"/>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row>
    <row r="19" spans="1:43" ht="15.5" x14ac:dyDescent="0.35">
      <c r="A19" s="97"/>
      <c r="B19" s="79"/>
      <c r="C19" s="123" t="s">
        <v>31</v>
      </c>
      <c r="D19" s="140">
        <f>'Data Details'!D80</f>
        <v>41398293.120290734</v>
      </c>
      <c r="E19" s="148">
        <f>'Data Details'!F80</f>
        <v>76096386.602397159</v>
      </c>
      <c r="F19" s="239"/>
      <c r="G19" s="222"/>
      <c r="H19" s="161"/>
      <c r="I19" s="97"/>
      <c r="J19" s="97"/>
      <c r="K19" s="97"/>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row>
    <row r="20" spans="1:43" ht="15.5" x14ac:dyDescent="0.35">
      <c r="A20" s="97"/>
      <c r="B20" s="79"/>
      <c r="C20" s="123" t="s">
        <v>32</v>
      </c>
      <c r="D20" s="140">
        <f>'Data Details'!D81</f>
        <v>1072.2724077986618</v>
      </c>
      <c r="E20" s="148">
        <f>'Data Details'!F81</f>
        <v>1295.8072405511778</v>
      </c>
      <c r="F20" s="239"/>
      <c r="G20" s="222"/>
      <c r="H20" s="161"/>
      <c r="I20" s="97"/>
      <c r="J20" s="97"/>
      <c r="K20" s="97"/>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row>
    <row r="21" spans="1:43" ht="62" customHeight="1" x14ac:dyDescent="0.35">
      <c r="A21" s="97"/>
      <c r="B21" s="79"/>
      <c r="C21" s="123" t="s">
        <v>33</v>
      </c>
      <c r="D21" s="141">
        <f>'Data Details'!D82</f>
        <v>8.411955124695254</v>
      </c>
      <c r="E21" s="149">
        <f>'Data Details'!F82</f>
        <v>11.393390472037728</v>
      </c>
      <c r="F21" s="240"/>
      <c r="G21" s="222"/>
      <c r="H21" s="161"/>
      <c r="I21" s="97"/>
      <c r="J21" s="97"/>
      <c r="K21" s="97"/>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row>
    <row r="22" spans="1:43" ht="27" customHeight="1" x14ac:dyDescent="0.35">
      <c r="A22" s="97"/>
      <c r="B22" s="85"/>
      <c r="C22" s="86"/>
      <c r="D22" s="86"/>
      <c r="E22" s="86"/>
      <c r="F22" s="86"/>
      <c r="G22" s="87"/>
      <c r="H22" s="163"/>
      <c r="I22" s="119"/>
      <c r="J22" s="97"/>
      <c r="K22" s="97"/>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row>
    <row r="23" spans="1:43" ht="27" customHeight="1" x14ac:dyDescent="0.35">
      <c r="A23" s="97"/>
      <c r="B23" s="97"/>
      <c r="C23" s="97"/>
      <c r="D23" s="97"/>
      <c r="E23" s="97"/>
      <c r="F23" s="97"/>
      <c r="G23" s="97"/>
      <c r="H23" s="97"/>
      <c r="I23" s="97"/>
      <c r="J23" s="97"/>
      <c r="K23" s="97"/>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row>
    <row r="24" spans="1:43" ht="21.75" customHeight="1" x14ac:dyDescent="0.45">
      <c r="A24" s="97"/>
      <c r="B24" s="78"/>
      <c r="C24" s="230" t="s">
        <v>34</v>
      </c>
      <c r="D24" s="230"/>
      <c r="E24" s="230"/>
      <c r="F24" s="231"/>
      <c r="G24" s="231"/>
      <c r="H24" s="231"/>
      <c r="I24" s="232"/>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row>
    <row r="25" spans="1:43" ht="19" customHeight="1" x14ac:dyDescent="0.35">
      <c r="A25" s="97"/>
      <c r="B25" s="79"/>
      <c r="C25" s="215" t="s">
        <v>35</v>
      </c>
      <c r="D25" s="215"/>
      <c r="E25" s="215"/>
      <c r="F25" s="215"/>
      <c r="G25" s="228"/>
      <c r="H25" s="228"/>
      <c r="I25" s="216"/>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row>
    <row r="26" spans="1:43" ht="43" customHeight="1" x14ac:dyDescent="0.35">
      <c r="A26" s="97"/>
      <c r="B26" s="79"/>
      <c r="C26" s="217"/>
      <c r="D26" s="217"/>
      <c r="E26" s="217"/>
      <c r="F26" s="217"/>
      <c r="G26" s="229"/>
      <c r="H26" s="229"/>
      <c r="I26" s="218"/>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row>
    <row r="27" spans="1:43" ht="32.5" customHeight="1" x14ac:dyDescent="0.35">
      <c r="A27" s="97"/>
      <c r="B27" s="79"/>
      <c r="C27" s="155" t="s">
        <v>36</v>
      </c>
      <c r="D27" s="233" t="s">
        <v>13</v>
      </c>
      <c r="E27" s="234"/>
      <c r="F27" s="155" t="s">
        <v>37</v>
      </c>
      <c r="G27" s="155" t="s">
        <v>38</v>
      </c>
      <c r="H27" s="156" t="s">
        <v>39</v>
      </c>
      <c r="I27" s="156" t="s">
        <v>40</v>
      </c>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row>
    <row r="28" spans="1:43" ht="47.5" customHeight="1" x14ac:dyDescent="0.35">
      <c r="A28" s="97"/>
      <c r="B28" s="79"/>
      <c r="C28" s="123" t="s">
        <v>41</v>
      </c>
      <c r="D28" s="235" t="s">
        <v>42</v>
      </c>
      <c r="E28" s="236"/>
      <c r="F28" s="122">
        <v>750</v>
      </c>
      <c r="G28" s="152">
        <v>750</v>
      </c>
      <c r="H28" s="126">
        <f>'Data Details'!M38</f>
        <v>0</v>
      </c>
      <c r="I28" s="137">
        <f>'Data Details'!K36-'Data Details'!F36</f>
        <v>0</v>
      </c>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row>
    <row r="29" spans="1:43" ht="47.5" customHeight="1" x14ac:dyDescent="0.35">
      <c r="A29" s="97"/>
      <c r="B29" s="79"/>
      <c r="C29" s="123" t="s">
        <v>43</v>
      </c>
      <c r="D29" s="235" t="s">
        <v>44</v>
      </c>
      <c r="E29" s="236"/>
      <c r="F29" s="122">
        <v>0</v>
      </c>
      <c r="G29" s="152">
        <v>0</v>
      </c>
      <c r="H29" s="126">
        <f>'Data Details'!M41</f>
        <v>0</v>
      </c>
      <c r="I29" s="137">
        <f>G29</f>
        <v>0</v>
      </c>
      <c r="J29" s="116"/>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row>
    <row r="30" spans="1:43" ht="94" customHeight="1" x14ac:dyDescent="0.35">
      <c r="A30" s="97"/>
      <c r="B30" s="79"/>
      <c r="C30" s="124" t="s">
        <v>45</v>
      </c>
      <c r="D30" s="235" t="str">
        <f>"Indiana can allow charter schools to access facility-related local revenues proportional to their share of public school students, which in five years will be "&amp;ROUND('Data Details'!F50*100,1) &amp;"%. Charter schools currently receive none of these funds. Enter " &amp; ROUND('Data Details'!F50*100,1) &amp; "% to require that charter schools receive a proportional amount, or a different% if desired."</f>
        <v>Indiana can allow charter schools to access facility-related local revenues proportional to their share of public school students, which in five years will be 5.4%. Charter schools currently receive none of these funds. Enter 5.4% to require that charter schools receive a proportional amount, or a different% if desired.</v>
      </c>
      <c r="E30" s="236"/>
      <c r="F30" s="133">
        <v>0</v>
      </c>
      <c r="G30" s="153">
        <v>0</v>
      </c>
      <c r="H30" s="134">
        <f>'Data Details'!M53</f>
        <v>0</v>
      </c>
      <c r="I30" s="139">
        <v>0</v>
      </c>
      <c r="J30" s="116"/>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row>
    <row r="31" spans="1:43" ht="81" customHeight="1" x14ac:dyDescent="0.35">
      <c r="A31" s="97"/>
      <c r="B31" s="79"/>
      <c r="C31" s="123" t="s">
        <v>46</v>
      </c>
      <c r="D31" s="235" t="s">
        <v>363</v>
      </c>
      <c r="E31" s="236"/>
      <c r="F31" s="135">
        <f>'Data Details'!F61</f>
        <v>0.13533834586466165</v>
      </c>
      <c r="G31" s="154">
        <f>F31</f>
        <v>0.13533834586466165</v>
      </c>
      <c r="H31" s="126">
        <f>'Data Details'!M65</f>
        <v>0</v>
      </c>
      <c r="I31" s="137">
        <v>0</v>
      </c>
      <c r="J31" s="116"/>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row>
    <row r="32" spans="1:43" ht="78.650000000000006" customHeight="1" x14ac:dyDescent="0.35">
      <c r="A32" s="97"/>
      <c r="B32" s="79"/>
      <c r="C32" s="123" t="s">
        <v>47</v>
      </c>
      <c r="D32" s="235" t="s">
        <v>48</v>
      </c>
      <c r="E32" s="236"/>
      <c r="F32" s="122">
        <v>45000000</v>
      </c>
      <c r="G32" s="152">
        <f>F32</f>
        <v>45000000</v>
      </c>
      <c r="H32" s="126">
        <f>'Data Details'!M77</f>
        <v>0</v>
      </c>
      <c r="I32" s="137">
        <f>(G32-F32)*0.02/30</f>
        <v>0</v>
      </c>
      <c r="J32" s="116"/>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row>
    <row r="33" spans="1:44" ht="18.75" customHeight="1" x14ac:dyDescent="0.35">
      <c r="A33" s="97"/>
      <c r="B33" s="79"/>
      <c r="C33" s="143" t="s">
        <v>49</v>
      </c>
      <c r="D33" s="235"/>
      <c r="E33" s="236"/>
      <c r="F33" s="122"/>
      <c r="G33" s="142"/>
      <c r="H33" s="144">
        <f>SUM(H28:H32)</f>
        <v>0</v>
      </c>
      <c r="I33" s="145">
        <f>SUM(I28:I32)</f>
        <v>0</v>
      </c>
      <c r="J33" s="116"/>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row>
    <row r="34" spans="1:44" ht="16.5" customHeight="1" x14ac:dyDescent="0.35">
      <c r="A34" s="97"/>
      <c r="B34" s="85"/>
      <c r="C34" s="86"/>
      <c r="D34" s="86"/>
      <c r="E34" s="86"/>
      <c r="F34" s="86"/>
      <c r="G34" s="86"/>
      <c r="H34" s="86"/>
      <c r="I34" s="87"/>
      <c r="J34" s="116"/>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row>
    <row r="35" spans="1:44" ht="30" customHeight="1" x14ac:dyDescent="0.35">
      <c r="A35" s="97"/>
      <c r="B35" s="97"/>
      <c r="C35" s="97"/>
      <c r="D35" s="97"/>
      <c r="E35" s="97"/>
      <c r="F35" s="97"/>
      <c r="G35" s="97"/>
      <c r="H35" s="97"/>
      <c r="I35" s="97"/>
      <c r="J35" s="97"/>
      <c r="K35" s="116"/>
      <c r="L35" s="97"/>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x14ac:dyDescent="0.35">
      <c r="A36" s="97"/>
      <c r="B36" s="97"/>
      <c r="C36" s="97"/>
      <c r="D36" s="97"/>
      <c r="E36" s="97"/>
      <c r="F36" s="97"/>
      <c r="G36" s="97"/>
      <c r="H36" s="97"/>
      <c r="I36" s="97"/>
      <c r="J36" s="97"/>
      <c r="K36" s="97"/>
      <c r="L36" s="97"/>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row>
    <row r="37" spans="1:44" x14ac:dyDescent="0.35">
      <c r="A37" s="97"/>
      <c r="B37" s="97"/>
      <c r="C37" s="97"/>
      <c r="D37" s="97"/>
      <c r="E37" s="97"/>
      <c r="F37" s="97"/>
      <c r="G37" s="97"/>
      <c r="H37" s="97"/>
      <c r="I37" s="97"/>
      <c r="J37" s="97"/>
      <c r="K37" s="97"/>
      <c r="L37" s="97"/>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row>
    <row r="38" spans="1:44" x14ac:dyDescent="0.35">
      <c r="A38" s="97"/>
      <c r="B38" s="97"/>
      <c r="C38" s="97"/>
      <c r="D38" s="97"/>
      <c r="E38" s="97"/>
      <c r="F38" s="97"/>
      <c r="G38" s="97"/>
      <c r="H38" s="97"/>
      <c r="I38" s="97"/>
      <c r="J38" s="97"/>
      <c r="K38" s="97"/>
      <c r="L38" s="97"/>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row>
    <row r="39" spans="1:44" x14ac:dyDescent="0.35">
      <c r="A39" s="97"/>
      <c r="B39" s="97"/>
      <c r="C39" s="97"/>
      <c r="D39" s="97"/>
      <c r="E39" s="97"/>
      <c r="F39" s="97"/>
      <c r="G39" s="97"/>
      <c r="H39" s="97"/>
      <c r="I39" s="97"/>
      <c r="J39" s="97"/>
      <c r="K39" s="97"/>
      <c r="L39" s="97"/>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row>
    <row r="40" spans="1:44" x14ac:dyDescent="0.35">
      <c r="A40" s="97"/>
      <c r="B40" s="97"/>
      <c r="C40" s="97"/>
      <c r="D40" s="97"/>
      <c r="E40" s="97"/>
      <c r="F40" s="97"/>
      <c r="G40" s="97"/>
      <c r="H40" s="97"/>
      <c r="I40" s="97"/>
      <c r="J40" s="97"/>
      <c r="K40" s="97"/>
      <c r="L40" s="97"/>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row>
    <row r="41" spans="1:44" x14ac:dyDescent="0.35">
      <c r="A41" s="97"/>
      <c r="B41" s="97"/>
      <c r="C41" s="97"/>
      <c r="D41" s="97"/>
      <c r="E41" s="97"/>
      <c r="F41" s="97"/>
      <c r="G41" s="97"/>
      <c r="H41" s="97"/>
      <c r="I41" s="97"/>
      <c r="J41" s="97"/>
      <c r="K41" s="97"/>
      <c r="L41" s="97"/>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row>
    <row r="42" spans="1:44" x14ac:dyDescent="0.35">
      <c r="A42" s="97"/>
      <c r="B42" s="97"/>
      <c r="C42" s="97"/>
      <c r="D42" s="97"/>
      <c r="E42" s="97"/>
      <c r="F42" s="97"/>
      <c r="G42" s="97"/>
      <c r="H42" s="97"/>
      <c r="I42" s="97"/>
      <c r="J42" s="97"/>
      <c r="K42" s="97"/>
      <c r="L42" s="97"/>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row>
    <row r="43" spans="1:44" x14ac:dyDescent="0.35">
      <c r="A43" s="97"/>
      <c r="B43" s="97"/>
      <c r="C43" s="97"/>
      <c r="D43" s="97"/>
      <c r="E43" s="97"/>
      <c r="F43" s="97"/>
      <c r="G43" s="97"/>
      <c r="H43" s="97"/>
      <c r="I43" s="97"/>
      <c r="J43" s="97"/>
      <c r="K43" s="116"/>
      <c r="L43" s="97"/>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row>
    <row r="44" spans="1:44" x14ac:dyDescent="0.35">
      <c r="A44" s="97"/>
      <c r="B44" s="97"/>
      <c r="C44" s="97"/>
      <c r="D44" s="97"/>
      <c r="E44" s="97"/>
      <c r="F44" s="97"/>
      <c r="G44" s="97"/>
      <c r="H44" s="97"/>
      <c r="I44" s="97"/>
      <c r="J44" s="97"/>
      <c r="K44" s="116"/>
      <c r="L44" s="97"/>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row>
    <row r="45" spans="1:44" x14ac:dyDescent="0.35">
      <c r="A45" s="97"/>
      <c r="B45" s="97"/>
      <c r="C45" s="97"/>
      <c r="D45" s="97"/>
      <c r="E45" s="97"/>
      <c r="F45" s="97"/>
      <c r="G45" s="97"/>
      <c r="H45" s="97"/>
      <c r="I45" s="97"/>
      <c r="J45" s="97"/>
      <c r="K45" s="116"/>
      <c r="L45" s="97"/>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row>
    <row r="46" spans="1:44" x14ac:dyDescent="0.35">
      <c r="A46" s="97"/>
      <c r="B46" s="97"/>
      <c r="C46" s="97"/>
      <c r="D46" s="97"/>
      <c r="E46" s="97"/>
      <c r="F46" s="97"/>
      <c r="G46" s="97"/>
      <c r="H46" s="97"/>
      <c r="I46" s="97"/>
      <c r="J46" s="97"/>
      <c r="K46" s="117"/>
      <c r="L46" s="97"/>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row>
    <row r="47" spans="1:44" x14ac:dyDescent="0.35">
      <c r="A47" s="97"/>
      <c r="B47" s="97"/>
      <c r="C47" s="80"/>
      <c r="D47" s="80"/>
      <c r="E47" s="80"/>
      <c r="F47" s="80"/>
      <c r="G47" s="80"/>
      <c r="H47" s="80"/>
      <c r="I47" s="80"/>
      <c r="J47" s="80"/>
      <c r="K47" s="116"/>
      <c r="L47" s="97"/>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row>
    <row r="48" spans="1:44" x14ac:dyDescent="0.35">
      <c r="A48" s="97"/>
      <c r="B48" s="97"/>
      <c r="C48" s="80"/>
      <c r="D48" s="80"/>
      <c r="E48" s="80"/>
      <c r="F48" s="80"/>
      <c r="G48" s="80"/>
      <c r="H48" s="80"/>
      <c r="I48" s="80"/>
      <c r="J48" s="80"/>
      <c r="K48" s="116"/>
      <c r="L48" s="97"/>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row>
    <row r="49" spans="1:44" x14ac:dyDescent="0.35">
      <c r="A49" s="97"/>
      <c r="B49" s="97"/>
      <c r="C49" s="80"/>
      <c r="D49" s="80"/>
      <c r="E49" s="80"/>
      <c r="F49" s="80"/>
      <c r="G49" s="80"/>
      <c r="H49" s="80"/>
      <c r="I49" s="80"/>
      <c r="J49" s="80"/>
      <c r="K49" s="116"/>
      <c r="L49" s="97"/>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row>
    <row r="50" spans="1:44" x14ac:dyDescent="0.35">
      <c r="A50" s="97"/>
      <c r="B50" s="80"/>
      <c r="C50" s="80"/>
      <c r="D50" s="80"/>
      <c r="E50" s="80"/>
      <c r="F50" s="80"/>
      <c r="G50" s="80"/>
      <c r="H50" s="80"/>
      <c r="I50" s="80"/>
      <c r="J50" s="80"/>
      <c r="K50" s="116"/>
      <c r="L50" s="97"/>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row>
    <row r="51" spans="1:44" x14ac:dyDescent="0.35">
      <c r="A51" s="97"/>
      <c r="B51" s="80"/>
      <c r="C51" s="80"/>
      <c r="D51" s="80"/>
      <c r="E51" s="80"/>
      <c r="F51" s="80"/>
      <c r="G51" s="80"/>
      <c r="H51" s="80"/>
      <c r="I51" s="80"/>
      <c r="J51" s="80"/>
      <c r="K51" s="116"/>
      <c r="L51" s="97"/>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row>
    <row r="52" spans="1:44" x14ac:dyDescent="0.35">
      <c r="A52" s="97"/>
      <c r="B52" s="80"/>
      <c r="C52" s="80"/>
      <c r="D52" s="80"/>
      <c r="E52" s="80"/>
      <c r="F52" s="80"/>
      <c r="G52" s="80"/>
      <c r="H52" s="80"/>
      <c r="I52" s="80"/>
      <c r="J52" s="80"/>
      <c r="K52" s="116"/>
      <c r="L52" s="97"/>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row>
    <row r="53" spans="1:44" x14ac:dyDescent="0.35">
      <c r="A53" s="97"/>
      <c r="B53" s="80"/>
      <c r="C53" s="80"/>
      <c r="D53" s="80"/>
      <c r="E53" s="80"/>
      <c r="F53" s="80"/>
      <c r="G53" s="80"/>
      <c r="H53" s="80"/>
      <c r="I53" s="80"/>
      <c r="J53" s="80"/>
      <c r="K53" s="116"/>
      <c r="L53" s="97"/>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row>
    <row r="54" spans="1:44" x14ac:dyDescent="0.35">
      <c r="A54" s="97"/>
      <c r="B54" s="80"/>
      <c r="C54" s="80"/>
      <c r="D54" s="80"/>
      <c r="E54" s="80"/>
      <c r="F54" s="80"/>
      <c r="G54" s="80"/>
      <c r="H54" s="80"/>
      <c r="I54" s="80"/>
      <c r="J54" s="80"/>
      <c r="K54" s="116"/>
      <c r="L54" s="97"/>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row>
    <row r="55" spans="1:44" x14ac:dyDescent="0.35">
      <c r="A55" s="97"/>
      <c r="B55" s="80"/>
      <c r="C55" s="80"/>
      <c r="D55" s="80"/>
      <c r="E55" s="80"/>
      <c r="F55" s="80"/>
      <c r="G55" s="80"/>
      <c r="H55" s="80"/>
      <c r="I55" s="80"/>
      <c r="J55" s="80"/>
      <c r="K55" s="116"/>
      <c r="L55" s="97"/>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row>
    <row r="56" spans="1:44" x14ac:dyDescent="0.35">
      <c r="A56" s="97"/>
      <c r="B56" s="80"/>
      <c r="C56" s="80"/>
      <c r="D56" s="80"/>
      <c r="E56" s="80"/>
      <c r="F56" s="80"/>
      <c r="G56" s="80"/>
      <c r="H56" s="80"/>
      <c r="I56" s="80"/>
      <c r="J56" s="80"/>
      <c r="K56" s="116"/>
      <c r="L56" s="97"/>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row>
    <row r="57" spans="1:44" x14ac:dyDescent="0.35">
      <c r="A57" s="97"/>
      <c r="B57" s="80"/>
      <c r="C57" s="80"/>
      <c r="D57" s="80"/>
      <c r="E57" s="80"/>
      <c r="F57" s="80"/>
      <c r="G57" s="80"/>
      <c r="H57" s="80"/>
      <c r="I57" s="80"/>
      <c r="J57" s="80"/>
      <c r="K57" s="97"/>
      <c r="L57" s="97"/>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row>
    <row r="58" spans="1:44" x14ac:dyDescent="0.35">
      <c r="A58" s="97"/>
      <c r="B58" s="80"/>
      <c r="C58" s="80"/>
      <c r="D58" s="80"/>
      <c r="E58" s="80"/>
      <c r="F58" s="80"/>
      <c r="G58" s="80"/>
      <c r="H58" s="80"/>
      <c r="I58" s="80"/>
      <c r="J58" s="80"/>
      <c r="K58" s="97"/>
      <c r="L58" s="97"/>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row>
    <row r="59" spans="1:44" x14ac:dyDescent="0.35">
      <c r="A59" s="97"/>
      <c r="B59" s="80"/>
      <c r="C59" s="80"/>
      <c r="D59" s="80"/>
      <c r="E59" s="80"/>
      <c r="F59" s="80"/>
      <c r="G59" s="80"/>
      <c r="H59" s="80"/>
      <c r="I59" s="80"/>
      <c r="J59" s="80"/>
      <c r="K59" s="97"/>
      <c r="L59" s="97"/>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row>
    <row r="60" spans="1:44" x14ac:dyDescent="0.35">
      <c r="A60" s="97"/>
      <c r="B60" s="80"/>
      <c r="C60" s="80"/>
      <c r="D60" s="80"/>
      <c r="E60" s="80"/>
      <c r="F60" s="80"/>
      <c r="G60" s="80"/>
      <c r="H60" s="80"/>
      <c r="I60" s="80"/>
      <c r="J60" s="80"/>
      <c r="K60" s="97"/>
      <c r="L60" s="97"/>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row>
    <row r="61" spans="1:44" x14ac:dyDescent="0.35">
      <c r="A61" s="97"/>
      <c r="B61" s="80"/>
      <c r="C61" s="80"/>
      <c r="D61" s="80"/>
      <c r="E61" s="80"/>
      <c r="F61" s="80"/>
      <c r="G61" s="80"/>
      <c r="H61" s="80"/>
      <c r="I61" s="80"/>
      <c r="J61" s="80"/>
      <c r="K61" s="97"/>
      <c r="L61" s="97"/>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row>
    <row r="62" spans="1:44" x14ac:dyDescent="0.3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row>
    <row r="63" spans="1:44" x14ac:dyDescent="0.3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row>
    <row r="64" spans="1:44" x14ac:dyDescent="0.3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row>
    <row r="65" spans="1:44" x14ac:dyDescent="0.3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row>
    <row r="66" spans="1:44" x14ac:dyDescent="0.3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row>
    <row r="67" spans="1:44" x14ac:dyDescent="0.3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row>
    <row r="68" spans="1:44" x14ac:dyDescent="0.3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row>
    <row r="69" spans="1:44" x14ac:dyDescent="0.3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row>
    <row r="70" spans="1:44" x14ac:dyDescent="0.3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row>
    <row r="71" spans="1:44" x14ac:dyDescent="0.3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row>
    <row r="72" spans="1:44" x14ac:dyDescent="0.3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row>
    <row r="73" spans="1:44" x14ac:dyDescent="0.3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row>
    <row r="74" spans="1:44" ht="36" x14ac:dyDescent="0.8">
      <c r="A74" s="80"/>
      <c r="B74" s="181"/>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row>
    <row r="75" spans="1:44" x14ac:dyDescent="0.3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row>
    <row r="76" spans="1:44" x14ac:dyDescent="0.3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row>
    <row r="77" spans="1:44" x14ac:dyDescent="0.3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row>
    <row r="78" spans="1:44" x14ac:dyDescent="0.3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row>
    <row r="79" spans="1:44" x14ac:dyDescent="0.3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row>
    <row r="80" spans="1:44" x14ac:dyDescent="0.3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row>
    <row r="81" spans="1:44" x14ac:dyDescent="0.3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row>
    <row r="82" spans="1:44" x14ac:dyDescent="0.3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row>
    <row r="83" spans="1:44" x14ac:dyDescent="0.3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row>
    <row r="84" spans="1:44" x14ac:dyDescent="0.3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row>
    <row r="85" spans="1:44" x14ac:dyDescent="0.3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row>
    <row r="86" spans="1:44" x14ac:dyDescent="0.3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row>
    <row r="87" spans="1:44" x14ac:dyDescent="0.3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row>
    <row r="88" spans="1:44" x14ac:dyDescent="0.3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row>
    <row r="89" spans="1:44" x14ac:dyDescent="0.3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row>
    <row r="90" spans="1:44" x14ac:dyDescent="0.3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row>
    <row r="91" spans="1:44" x14ac:dyDescent="0.3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row>
    <row r="92" spans="1:44" x14ac:dyDescent="0.3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row>
    <row r="93" spans="1:44" x14ac:dyDescent="0.3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row>
    <row r="94" spans="1:44" x14ac:dyDescent="0.3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row>
    <row r="95" spans="1:44" x14ac:dyDescent="0.3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row>
    <row r="96" spans="1:44" x14ac:dyDescent="0.3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row>
    <row r="97" spans="1:44" x14ac:dyDescent="0.3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row>
    <row r="98" spans="1:44" x14ac:dyDescent="0.3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row>
    <row r="99" spans="1:44" x14ac:dyDescent="0.3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row>
    <row r="100" spans="1:44" x14ac:dyDescent="0.3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row>
    <row r="101" spans="1:44" x14ac:dyDescent="0.3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row>
    <row r="102" spans="1:44" x14ac:dyDescent="0.3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row>
    <row r="103" spans="1:44" x14ac:dyDescent="0.3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row>
    <row r="104" spans="1:44" x14ac:dyDescent="0.3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row>
    <row r="105" spans="1:44" x14ac:dyDescent="0.3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row>
    <row r="106" spans="1:44" x14ac:dyDescent="0.3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row>
    <row r="107" spans="1:44" x14ac:dyDescent="0.3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row>
    <row r="108" spans="1:44" x14ac:dyDescent="0.3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row>
    <row r="109" spans="1:44" x14ac:dyDescent="0.3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row>
    <row r="110" spans="1:44" x14ac:dyDescent="0.35">
      <c r="A110" s="80"/>
      <c r="B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row>
    <row r="111" spans="1:44" x14ac:dyDescent="0.35">
      <c r="A111" s="80"/>
      <c r="B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row>
    <row r="112" spans="1:44" x14ac:dyDescent="0.35">
      <c r="A112" s="80"/>
      <c r="B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row>
    <row r="113" spans="1:44" x14ac:dyDescent="0.35">
      <c r="A113" s="80"/>
      <c r="B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row>
    <row r="114" spans="1:44" x14ac:dyDescent="0.35">
      <c r="A114" s="80"/>
      <c r="B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row>
    <row r="115" spans="1:44" x14ac:dyDescent="0.35">
      <c r="A115" s="80"/>
      <c r="B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row>
    <row r="116" spans="1:44" x14ac:dyDescent="0.35">
      <c r="A116" s="80"/>
      <c r="B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row>
    <row r="117" spans="1:44" x14ac:dyDescent="0.35">
      <c r="A117" s="80"/>
      <c r="B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row>
    <row r="118" spans="1:44" x14ac:dyDescent="0.35">
      <c r="A118" s="80"/>
      <c r="B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row>
    <row r="119" spans="1:44" x14ac:dyDescent="0.35">
      <c r="A119" s="80"/>
      <c r="B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row>
    <row r="120" spans="1:44" x14ac:dyDescent="0.35">
      <c r="A120" s="80"/>
      <c r="B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row>
    <row r="121" spans="1:44" x14ac:dyDescent="0.35">
      <c r="A121" s="80"/>
      <c r="B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row>
    <row r="122" spans="1:44" x14ac:dyDescent="0.35">
      <c r="A122" s="80"/>
      <c r="B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row>
    <row r="123" spans="1:44" x14ac:dyDescent="0.35">
      <c r="A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row>
    <row r="124" spans="1:44" x14ac:dyDescent="0.35">
      <c r="A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row>
    <row r="125" spans="1:44" x14ac:dyDescent="0.35">
      <c r="A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row>
    <row r="126" spans="1:44" x14ac:dyDescent="0.35">
      <c r="A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row>
    <row r="127" spans="1:44" x14ac:dyDescent="0.35">
      <c r="A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row>
    <row r="128" spans="1:44" x14ac:dyDescent="0.35">
      <c r="A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row>
    <row r="129" spans="1:44" x14ac:dyDescent="0.35">
      <c r="A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row>
    <row r="130" spans="1:44" x14ac:dyDescent="0.35">
      <c r="A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row>
    <row r="131" spans="1:44" x14ac:dyDescent="0.35">
      <c r="A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row>
    <row r="132" spans="1:44" x14ac:dyDescent="0.35">
      <c r="A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row>
    <row r="133" spans="1:44" x14ac:dyDescent="0.35">
      <c r="A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row>
    <row r="134" spans="1:44" x14ac:dyDescent="0.35">
      <c r="A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row>
  </sheetData>
  <protectedRanges>
    <protectedRange sqref="G9:G12 G28:G32" name="Updated Values"/>
  </protectedRanges>
  <mergeCells count="26">
    <mergeCell ref="D32:E32"/>
    <mergeCell ref="D33:E33"/>
    <mergeCell ref="D27:E27"/>
    <mergeCell ref="D28:E28"/>
    <mergeCell ref="D29:E29"/>
    <mergeCell ref="D30:E30"/>
    <mergeCell ref="D31:E31"/>
    <mergeCell ref="C25:I26"/>
    <mergeCell ref="C24:I24"/>
    <mergeCell ref="D8:E8"/>
    <mergeCell ref="D9:E9"/>
    <mergeCell ref="D10:E10"/>
    <mergeCell ref="D11:E11"/>
    <mergeCell ref="D12:E12"/>
    <mergeCell ref="F16:G16"/>
    <mergeCell ref="F17:G17"/>
    <mergeCell ref="F18:G18"/>
    <mergeCell ref="F19:G19"/>
    <mergeCell ref="F20:G20"/>
    <mergeCell ref="F21:G21"/>
    <mergeCell ref="C6:G7"/>
    <mergeCell ref="C13:G14"/>
    <mergeCell ref="F15:G15"/>
    <mergeCell ref="B1:O1"/>
    <mergeCell ref="B2:O2"/>
    <mergeCell ref="B3:O3"/>
  </mergeCells>
  <dataValidations count="1">
    <dataValidation type="list" allowBlank="1" showInputMessage="1" showErrorMessage="1" sqref="G9" xr:uid="{0FF32F1A-EAC2-4E6B-99C5-86F3E9A72D05}">
      <formula1>"Yes,No"</formula1>
    </dataValidation>
  </dataValidations>
  <hyperlinks>
    <hyperlink ref="B3:O3" r:id="rId1" display="More details about the Charter School Facility Index, and the various sources of information and assumptions, can be found in the overview tab and a companion brief." xr:uid="{386E3F5D-AFFD-4C1B-9AB0-6B8680936228}"/>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75101-56DF-4282-98FA-3030EA3F5043}">
  <dimension ref="C1:N118"/>
  <sheetViews>
    <sheetView topLeftCell="C1" zoomScaleNormal="100" workbookViewId="0">
      <selection activeCell="C1" sqref="C1"/>
    </sheetView>
  </sheetViews>
  <sheetFormatPr defaultColWidth="8.81640625" defaultRowHeight="14.5" x14ac:dyDescent="0.35"/>
  <cols>
    <col min="1" max="2" width="0" hidden="1" customWidth="1"/>
    <col min="3" max="3" width="43.453125" style="50" customWidth="1"/>
    <col min="4" max="4" width="12.7265625" customWidth="1"/>
    <col min="5" max="5" width="11.453125" style="29" customWidth="1"/>
    <col min="6" max="6" width="13.7265625" customWidth="1"/>
    <col min="7" max="7" width="7.453125" style="29" customWidth="1"/>
    <col min="8" max="8" width="13.81640625" customWidth="1"/>
    <col min="9" max="9" width="6.453125" style="29" customWidth="1"/>
    <col min="11" max="11" width="14.1796875" customWidth="1"/>
    <col min="12" max="12" width="7.453125" style="29" customWidth="1"/>
    <col min="13" max="13" width="8.7265625" style="3"/>
  </cols>
  <sheetData>
    <row r="1" spans="3:13" x14ac:dyDescent="0.35">
      <c r="C1" s="51"/>
      <c r="D1" s="241" t="s">
        <v>50</v>
      </c>
      <c r="E1" s="241"/>
      <c r="F1" s="241" t="s">
        <v>51</v>
      </c>
      <c r="G1" s="241"/>
      <c r="H1" s="241" t="s">
        <v>52</v>
      </c>
      <c r="I1" s="241"/>
      <c r="K1" s="241" t="s">
        <v>38</v>
      </c>
      <c r="L1" s="241"/>
      <c r="M1" s="9" t="s">
        <v>53</v>
      </c>
    </row>
    <row r="2" spans="3:13" x14ac:dyDescent="0.35">
      <c r="C2" s="52" t="s">
        <v>54</v>
      </c>
      <c r="D2" s="25"/>
      <c r="E2" s="24"/>
      <c r="F2" s="25"/>
      <c r="G2" s="24"/>
      <c r="H2" s="25"/>
      <c r="I2" s="24"/>
      <c r="K2" s="25"/>
      <c r="L2" s="24"/>
      <c r="M2" s="24"/>
    </row>
    <row r="3" spans="3:13" s="68" customFormat="1" x14ac:dyDescent="0.35">
      <c r="C3" s="69" t="s">
        <v>55</v>
      </c>
      <c r="D3" s="34"/>
      <c r="E3" s="67"/>
      <c r="F3" s="41"/>
      <c r="G3" s="67"/>
      <c r="H3" s="41"/>
      <c r="I3" s="67"/>
      <c r="K3" s="41"/>
      <c r="L3" s="67"/>
      <c r="M3" s="67"/>
    </row>
    <row r="4" spans="3:13" s="68" customFormat="1" x14ac:dyDescent="0.35">
      <c r="C4" s="69" t="s">
        <v>56</v>
      </c>
      <c r="D4" s="34">
        <v>32946</v>
      </c>
      <c r="E4" s="67"/>
      <c r="F4" s="41"/>
      <c r="G4" s="67"/>
      <c r="H4" s="41"/>
      <c r="I4" s="67"/>
      <c r="K4" s="41"/>
      <c r="L4" s="67"/>
      <c r="M4" s="67"/>
    </row>
    <row r="5" spans="3:13" s="68" customFormat="1" x14ac:dyDescent="0.35">
      <c r="C5" s="69" t="s">
        <v>57</v>
      </c>
      <c r="D5" s="34">
        <v>5662</v>
      </c>
      <c r="E5" s="67"/>
      <c r="F5" s="41"/>
      <c r="G5" s="67"/>
      <c r="H5" s="41"/>
      <c r="I5" s="67"/>
      <c r="K5" s="41"/>
      <c r="L5" s="67"/>
      <c r="M5" s="67"/>
    </row>
    <row r="6" spans="3:13" s="68" customFormat="1" x14ac:dyDescent="0.35">
      <c r="C6" s="69" t="s">
        <v>58</v>
      </c>
      <c r="D6" s="70" t="str">
        <f>'Facility Index Tool'!G9</f>
        <v>Yes</v>
      </c>
      <c r="E6" s="67"/>
      <c r="F6" s="41"/>
      <c r="G6" s="67"/>
      <c r="H6" s="41"/>
      <c r="I6" s="67"/>
      <c r="K6" s="125" t="str">
        <f>'Facility Index Tool'!G9</f>
        <v>Yes</v>
      </c>
      <c r="L6" s="67"/>
      <c r="M6" s="67"/>
    </row>
    <row r="7" spans="3:13" x14ac:dyDescent="0.35">
      <c r="C7" s="51" t="s">
        <v>59</v>
      </c>
      <c r="D7" s="20">
        <f>IF(D6="Yes", D4+D5,D4)</f>
        <v>38608</v>
      </c>
      <c r="E7" s="24"/>
      <c r="F7" s="20">
        <f>D7*(1+(D8*(1+D9)))^5</f>
        <v>58725.082111772426</v>
      </c>
      <c r="G7" s="24"/>
      <c r="H7" s="20">
        <f>H20*H23</f>
        <v>5740.0456199476803</v>
      </c>
      <c r="I7" s="24"/>
      <c r="K7" s="20">
        <f>D7*(1+(D8*(1+K9)))^5</f>
        <v>58725.082111772426</v>
      </c>
      <c r="L7" s="24"/>
      <c r="M7" s="32"/>
    </row>
    <row r="8" spans="3:13" x14ac:dyDescent="0.35">
      <c r="C8" s="51" t="s">
        <v>60</v>
      </c>
      <c r="D8" s="12">
        <v>7.0000000000000007E-2</v>
      </c>
      <c r="E8" s="24"/>
      <c r="F8" s="20"/>
      <c r="G8" s="24"/>
      <c r="H8" s="20"/>
      <c r="I8" s="24"/>
      <c r="K8" s="20"/>
      <c r="L8" s="24"/>
      <c r="M8" s="32"/>
    </row>
    <row r="9" spans="3:13" ht="29" x14ac:dyDescent="0.35">
      <c r="C9" s="51" t="s">
        <v>61</v>
      </c>
      <c r="D9" s="60">
        <f>'Facility Index Tool'!G10</f>
        <v>0.25</v>
      </c>
      <c r="E9" s="24"/>
      <c r="F9" s="88">
        <v>0.25</v>
      </c>
      <c r="G9" s="24"/>
      <c r="H9" s="20"/>
      <c r="I9" s="24"/>
      <c r="K9" s="88">
        <f>'Facility Index Tool'!G10</f>
        <v>0.25</v>
      </c>
      <c r="L9" s="24"/>
      <c r="M9" s="32"/>
    </row>
    <row r="10" spans="3:13" x14ac:dyDescent="0.35">
      <c r="C10" s="51" t="s">
        <v>62</v>
      </c>
      <c r="D10" s="23">
        <f>11734*(1.013)</f>
        <v>11886.541999999999</v>
      </c>
      <c r="E10" s="24"/>
      <c r="F10" s="21"/>
      <c r="G10" s="24"/>
      <c r="H10" s="21"/>
      <c r="I10" s="24"/>
      <c r="K10" s="21"/>
      <c r="L10" s="24"/>
      <c r="M10" s="42"/>
    </row>
    <row r="11" spans="3:13" x14ac:dyDescent="0.35">
      <c r="C11" s="51" t="s">
        <v>63</v>
      </c>
      <c r="D11" s="36">
        <v>0.1</v>
      </c>
      <c r="E11" s="24"/>
      <c r="F11" s="12"/>
      <c r="G11" s="24"/>
      <c r="H11" s="12"/>
      <c r="I11" s="24"/>
      <c r="K11" s="12"/>
      <c r="L11" s="24"/>
      <c r="M11" s="9"/>
    </row>
    <row r="12" spans="3:13" ht="29" x14ac:dyDescent="0.35">
      <c r="C12" s="51" t="s">
        <v>64</v>
      </c>
      <c r="D12" s="36">
        <v>0.05</v>
      </c>
      <c r="E12" s="24"/>
      <c r="F12" s="12"/>
      <c r="G12" s="24"/>
      <c r="H12" s="12"/>
      <c r="I12" s="24"/>
      <c r="K12" s="12"/>
      <c r="L12" s="24"/>
      <c r="M12" s="9"/>
    </row>
    <row r="13" spans="3:13" x14ac:dyDescent="0.35">
      <c r="C13" s="51" t="s">
        <v>65</v>
      </c>
      <c r="D13" s="23">
        <f>D10*(D11+D12)</f>
        <v>1782.9813000000001</v>
      </c>
      <c r="E13" s="24"/>
      <c r="F13" s="23">
        <f>D13*(1+D14)^5</f>
        <v>2017.2796862504028</v>
      </c>
      <c r="G13" s="24"/>
      <c r="H13" s="23">
        <f>F13</f>
        <v>2017.2796862504028</v>
      </c>
      <c r="I13" s="24"/>
      <c r="K13" s="23">
        <f>D13*(1+D14)^5</f>
        <v>2017.2796862504028</v>
      </c>
      <c r="L13" s="24"/>
      <c r="M13" s="9"/>
    </row>
    <row r="14" spans="3:13" x14ac:dyDescent="0.35">
      <c r="C14" s="51" t="s">
        <v>66</v>
      </c>
      <c r="D14" s="36">
        <v>2.5000000000000001E-2</v>
      </c>
      <c r="E14" s="24"/>
      <c r="F14" s="23"/>
      <c r="G14" s="24"/>
      <c r="H14" s="23"/>
      <c r="I14" s="24"/>
      <c r="K14" s="23"/>
      <c r="L14" s="24"/>
      <c r="M14" s="9"/>
    </row>
    <row r="15" spans="3:13" x14ac:dyDescent="0.35">
      <c r="C15" s="53" t="s">
        <v>67</v>
      </c>
      <c r="D15" s="30">
        <f>D7*D13</f>
        <v>68837342.030400008</v>
      </c>
      <c r="E15" s="24"/>
      <c r="F15" s="30">
        <f>F7*F13</f>
        <v>118464915.21746543</v>
      </c>
      <c r="G15" s="24"/>
      <c r="H15" s="30">
        <f>H7*H13</f>
        <v>11579277.427271055</v>
      </c>
      <c r="I15" s="24"/>
      <c r="K15" s="30">
        <f>K7*K13</f>
        <v>118464915.21746543</v>
      </c>
      <c r="L15" s="24"/>
      <c r="M15" s="24"/>
    </row>
    <row r="16" spans="3:13" s="68" customFormat="1" x14ac:dyDescent="0.35">
      <c r="C16" s="69" t="s">
        <v>29</v>
      </c>
      <c r="D16" s="71"/>
      <c r="E16" s="67"/>
      <c r="F16" s="71"/>
      <c r="G16" s="67"/>
      <c r="H16" s="71"/>
      <c r="I16" s="67"/>
      <c r="K16" s="71"/>
      <c r="L16" s="67"/>
      <c r="M16" s="67"/>
    </row>
    <row r="17" spans="3:13" s="68" customFormat="1" ht="15.75" customHeight="1" x14ac:dyDescent="0.35">
      <c r="C17" s="69" t="s">
        <v>68</v>
      </c>
      <c r="D17" s="73">
        <v>78</v>
      </c>
      <c r="E17" s="67"/>
      <c r="F17" s="71"/>
      <c r="G17" s="67"/>
      <c r="H17" s="71"/>
      <c r="I17" s="67"/>
      <c r="K17" s="71"/>
      <c r="L17" s="67"/>
      <c r="M17" s="67"/>
    </row>
    <row r="18" spans="3:13" s="68" customFormat="1" x14ac:dyDescent="0.35">
      <c r="C18" s="69" t="s">
        <v>69</v>
      </c>
      <c r="D18" s="73">
        <v>20</v>
      </c>
      <c r="E18" s="67"/>
      <c r="F18" s="71"/>
      <c r="G18" s="67"/>
      <c r="H18" s="71"/>
      <c r="I18" s="67"/>
      <c r="K18" s="71"/>
      <c r="L18" s="67"/>
      <c r="M18" s="67"/>
    </row>
    <row r="19" spans="3:13" s="68" customFormat="1" x14ac:dyDescent="0.35">
      <c r="C19" s="69" t="s">
        <v>58</v>
      </c>
      <c r="D19" s="72" t="str">
        <f>D6</f>
        <v>Yes</v>
      </c>
      <c r="E19" s="67"/>
      <c r="F19" s="71"/>
      <c r="G19" s="67"/>
      <c r="H19" s="71"/>
      <c r="I19" s="67"/>
      <c r="K19" s="71"/>
      <c r="L19" s="67"/>
      <c r="M19" s="67"/>
    </row>
    <row r="20" spans="3:13" x14ac:dyDescent="0.35">
      <c r="C20" s="54" t="s">
        <v>70</v>
      </c>
      <c r="D20" s="20">
        <f>IF(D6="Yes",D17+D18,D17)</f>
        <v>98</v>
      </c>
      <c r="E20" s="24"/>
      <c r="F20" s="20">
        <f>ROUND(D20*(1+(D21*(1+D9)))^5,0)</f>
        <v>133</v>
      </c>
      <c r="G20" s="24"/>
      <c r="H20" s="20">
        <f>F22</f>
        <v>13</v>
      </c>
      <c r="I20" s="24"/>
      <c r="K20" s="20">
        <f>ROUND(D20*(1+(D21*(1+D9)))^5,0)</f>
        <v>133</v>
      </c>
      <c r="L20" s="24"/>
      <c r="M20" s="9"/>
    </row>
    <row r="21" spans="3:13" ht="29" x14ac:dyDescent="0.35">
      <c r="C21" s="51" t="s">
        <v>71</v>
      </c>
      <c r="D21" s="36">
        <v>5.0999999999999997E-2</v>
      </c>
      <c r="E21" s="24"/>
      <c r="F21" s="12"/>
      <c r="G21" s="24"/>
      <c r="H21" s="12"/>
      <c r="I21" s="24"/>
      <c r="K21" s="12"/>
      <c r="L21" s="24"/>
      <c r="M21" s="9"/>
    </row>
    <row r="22" spans="3:13" x14ac:dyDescent="0.35">
      <c r="C22" s="51" t="s">
        <v>72</v>
      </c>
      <c r="D22" s="33">
        <v>7</v>
      </c>
      <c r="E22" s="24"/>
      <c r="F22" s="33">
        <f>ROUNDDOWN(F20*('Indiana Figures'!H12*(1+D9)),0)</f>
        <v>13</v>
      </c>
      <c r="G22" s="24"/>
      <c r="H22" s="33"/>
      <c r="I22" s="24"/>
      <c r="K22" s="33">
        <f>F22</f>
        <v>13</v>
      </c>
      <c r="L22" s="24"/>
      <c r="M22" s="9"/>
    </row>
    <row r="23" spans="3:13" x14ac:dyDescent="0.35">
      <c r="C23" s="51" t="s">
        <v>73</v>
      </c>
      <c r="D23" s="20">
        <f>D7/D20</f>
        <v>393.9591836734694</v>
      </c>
      <c r="E23" s="24"/>
      <c r="F23" s="20">
        <f>F7/F20</f>
        <v>441.5419707652062</v>
      </c>
      <c r="G23" s="24"/>
      <c r="H23" s="34">
        <f>F23</f>
        <v>441.5419707652062</v>
      </c>
      <c r="I23" s="24"/>
      <c r="K23" s="20">
        <f>F7/F20</f>
        <v>441.5419707652062</v>
      </c>
      <c r="L23" s="24"/>
      <c r="M23" s="9"/>
    </row>
    <row r="24" spans="3:13" ht="29" x14ac:dyDescent="0.35">
      <c r="C24" s="51" t="s">
        <v>74</v>
      </c>
      <c r="D24" s="61">
        <f>'Facility Index Tool'!G11</f>
        <v>16000</v>
      </c>
      <c r="E24" s="24"/>
      <c r="F24" s="23">
        <f>ROUND(D24*(1+D27)^5,0)</f>
        <v>18103</v>
      </c>
      <c r="G24" s="24"/>
      <c r="H24" s="21">
        <f>ROUND(F24*(1+F27)^5,0)</f>
        <v>18103</v>
      </c>
      <c r="I24" s="24"/>
      <c r="K24" s="21">
        <f>F24</f>
        <v>18103</v>
      </c>
      <c r="L24" s="24"/>
      <c r="M24" s="9"/>
    </row>
    <row r="25" spans="3:13" x14ac:dyDescent="0.35">
      <c r="C25" s="54" t="s">
        <v>75</v>
      </c>
      <c r="D25" s="21">
        <f>D24*D23</f>
        <v>6303346.9387755105</v>
      </c>
      <c r="E25" s="30"/>
      <c r="F25" s="21">
        <f>F23*F24</f>
        <v>7993234.2967625279</v>
      </c>
      <c r="G25" s="24"/>
      <c r="H25" s="21">
        <f>H23*H24</f>
        <v>7993234.2967625279</v>
      </c>
      <c r="I25" s="24"/>
      <c r="K25" s="21">
        <f>K23*K24</f>
        <v>7993234.2967625279</v>
      </c>
      <c r="L25" s="24"/>
      <c r="M25" s="9"/>
    </row>
    <row r="26" spans="3:13" x14ac:dyDescent="0.35">
      <c r="C26" s="54" t="s">
        <v>76</v>
      </c>
      <c r="D26" s="21">
        <f>D24*400</f>
        <v>6400000</v>
      </c>
      <c r="E26" s="30"/>
      <c r="F26" s="21"/>
      <c r="G26" s="24"/>
      <c r="H26" s="21"/>
      <c r="I26" s="24"/>
      <c r="K26" s="21"/>
      <c r="L26" s="24"/>
      <c r="M26" s="9"/>
    </row>
    <row r="27" spans="3:13" ht="29" x14ac:dyDescent="0.35">
      <c r="C27" s="54" t="s">
        <v>77</v>
      </c>
      <c r="D27" s="36">
        <f>D14</f>
        <v>2.5000000000000001E-2</v>
      </c>
      <c r="E27" s="24"/>
      <c r="F27" s="21"/>
      <c r="G27" s="24"/>
      <c r="H27" s="21"/>
      <c r="I27" s="24"/>
      <c r="K27" s="21"/>
      <c r="L27" s="24"/>
      <c r="M27" s="9"/>
    </row>
    <row r="28" spans="3:13" x14ac:dyDescent="0.35">
      <c r="C28" s="55" t="s">
        <v>78</v>
      </c>
      <c r="D28" s="23">
        <f>D20*D25</f>
        <v>617728000</v>
      </c>
      <c r="E28" s="24"/>
      <c r="F28" s="21">
        <f>F20*F25</f>
        <v>1063100161.4694163</v>
      </c>
      <c r="G28" s="24"/>
      <c r="H28" s="21">
        <f>H20*H25</f>
        <v>103912045.85791287</v>
      </c>
      <c r="I28" s="24"/>
      <c r="K28" s="21">
        <f>K20*K25</f>
        <v>1063100161.4694163</v>
      </c>
      <c r="L28" s="24"/>
      <c r="M28" s="9"/>
    </row>
    <row r="29" spans="3:13" x14ac:dyDescent="0.35">
      <c r="C29" s="55"/>
      <c r="D29" s="21"/>
      <c r="E29" s="24"/>
      <c r="F29" s="21"/>
      <c r="G29" s="24"/>
      <c r="H29" s="21"/>
      <c r="I29" s="24"/>
      <c r="K29" s="21"/>
      <c r="L29" s="24"/>
      <c r="M29" s="9"/>
    </row>
    <row r="30" spans="3:13" x14ac:dyDescent="0.35">
      <c r="C30" s="52" t="s">
        <v>79</v>
      </c>
      <c r="D30" s="26"/>
      <c r="E30" s="24"/>
      <c r="F30" s="26"/>
      <c r="G30" s="24"/>
      <c r="H30" s="26"/>
      <c r="I30" s="24"/>
      <c r="K30" s="26"/>
      <c r="L30" s="24"/>
      <c r="M30" s="24"/>
    </row>
    <row r="31" spans="3:13" x14ac:dyDescent="0.35">
      <c r="C31" s="10" t="s">
        <v>80</v>
      </c>
      <c r="D31" s="11"/>
      <c r="E31" s="24"/>
      <c r="F31" s="11"/>
      <c r="G31" s="24"/>
      <c r="H31" s="11"/>
      <c r="I31" s="24"/>
      <c r="K31" s="11"/>
      <c r="L31" s="24"/>
      <c r="M31" s="9"/>
    </row>
    <row r="32" spans="3:13" x14ac:dyDescent="0.35">
      <c r="C32" s="55" t="s">
        <v>81</v>
      </c>
      <c r="D32" s="11"/>
      <c r="E32" s="24"/>
      <c r="F32" s="11"/>
      <c r="G32" s="24"/>
      <c r="H32" s="11"/>
      <c r="I32" s="24"/>
      <c r="K32" s="11"/>
      <c r="L32" s="24"/>
      <c r="M32" s="9"/>
    </row>
    <row r="33" spans="3:13" ht="29" x14ac:dyDescent="0.35">
      <c r="C33" s="54" t="s">
        <v>82</v>
      </c>
      <c r="D33" s="20">
        <f>D37/(D34)</f>
        <v>28200</v>
      </c>
      <c r="E33" s="24"/>
      <c r="F33" s="34">
        <f>D33*F7/D7</f>
        <v>42893.89027020261</v>
      </c>
      <c r="G33" s="24"/>
      <c r="H33" s="34">
        <f>H7*F33/F7</f>
        <v>4192.6358910724348</v>
      </c>
      <c r="I33" s="24"/>
      <c r="K33" s="34">
        <f>D33*F7/D7</f>
        <v>42893.89027020261</v>
      </c>
      <c r="L33" s="24"/>
      <c r="M33" s="9"/>
    </row>
    <row r="34" spans="3:13" x14ac:dyDescent="0.35">
      <c r="C34" s="54" t="s">
        <v>83</v>
      </c>
      <c r="D34" s="21">
        <v>750</v>
      </c>
      <c r="E34" s="24"/>
      <c r="F34" s="23">
        <f>D34</f>
        <v>750</v>
      </c>
      <c r="G34" s="24"/>
      <c r="H34" s="23">
        <f>F34</f>
        <v>750</v>
      </c>
      <c r="I34" s="24"/>
      <c r="K34" s="49">
        <f>'Facility Index Tool'!G28</f>
        <v>750</v>
      </c>
      <c r="L34" s="24"/>
      <c r="M34" s="24"/>
    </row>
    <row r="35" spans="3:13" ht="29" x14ac:dyDescent="0.35">
      <c r="C35" s="54" t="s">
        <v>84</v>
      </c>
      <c r="D35" s="36">
        <v>0.9</v>
      </c>
      <c r="E35" s="24"/>
      <c r="F35" s="36">
        <f>D35</f>
        <v>0.9</v>
      </c>
      <c r="G35" s="24"/>
      <c r="H35" s="36">
        <f>F35</f>
        <v>0.9</v>
      </c>
      <c r="I35" s="24"/>
      <c r="K35" s="36">
        <f>D35</f>
        <v>0.9</v>
      </c>
      <c r="L35" s="24"/>
      <c r="M35" s="9"/>
    </row>
    <row r="36" spans="3:13" ht="29" x14ac:dyDescent="0.35">
      <c r="C36" s="54" t="s">
        <v>85</v>
      </c>
      <c r="D36" s="23">
        <v>23500000</v>
      </c>
      <c r="E36" s="24"/>
      <c r="F36" s="23">
        <f>F33*F34</f>
        <v>32170417.702651959</v>
      </c>
      <c r="G36" s="24"/>
      <c r="H36" s="23">
        <f>H33*H34</f>
        <v>3144476.918304326</v>
      </c>
      <c r="I36" s="24"/>
      <c r="K36" s="23">
        <f>K33*K34</f>
        <v>32170417.702651959</v>
      </c>
      <c r="L36" s="24"/>
      <c r="M36" s="9"/>
    </row>
    <row r="37" spans="3:13" x14ac:dyDescent="0.35">
      <c r="C37" s="54" t="s">
        <v>86</v>
      </c>
      <c r="D37" s="21">
        <f>D35*D36</f>
        <v>21150000</v>
      </c>
      <c r="E37" s="24"/>
      <c r="F37" s="23">
        <f>F35*F36</f>
        <v>28953375.932386763</v>
      </c>
      <c r="G37" s="24"/>
      <c r="H37" s="23">
        <f>H35*H36</f>
        <v>2830029.2264738935</v>
      </c>
      <c r="I37" s="24"/>
      <c r="K37" s="23">
        <f>K35*K36</f>
        <v>28953375.932386763</v>
      </c>
      <c r="L37" s="24"/>
      <c r="M37" s="9"/>
    </row>
    <row r="38" spans="3:13" x14ac:dyDescent="0.35">
      <c r="C38" s="54" t="s">
        <v>87</v>
      </c>
      <c r="D38" s="21"/>
      <c r="E38" s="27">
        <f>D37/D15</f>
        <v>0.30724602920693422</v>
      </c>
      <c r="F38" s="21"/>
      <c r="G38" s="27">
        <f>F37/F15</f>
        <v>0.24440464823899297</v>
      </c>
      <c r="H38" s="21"/>
      <c r="I38" s="27">
        <f>H37/H15</f>
        <v>0.24440464823899294</v>
      </c>
      <c r="K38" s="21"/>
      <c r="L38" s="27">
        <f>K37/K15</f>
        <v>0.24440464823899297</v>
      </c>
      <c r="M38" s="66">
        <f>L38-G38</f>
        <v>0</v>
      </c>
    </row>
    <row r="39" spans="3:13" x14ac:dyDescent="0.35">
      <c r="C39" s="55" t="s">
        <v>88</v>
      </c>
      <c r="D39" s="11"/>
      <c r="E39" s="24"/>
      <c r="F39" s="11"/>
      <c r="G39" s="24"/>
      <c r="H39" s="11"/>
      <c r="I39" s="24"/>
      <c r="K39" s="11"/>
      <c r="L39" s="24"/>
      <c r="M39" s="9"/>
    </row>
    <row r="40" spans="3:13" x14ac:dyDescent="0.35">
      <c r="C40" s="51" t="s">
        <v>89</v>
      </c>
      <c r="D40" s="21">
        <v>0</v>
      </c>
      <c r="E40" s="24"/>
      <c r="F40" s="23">
        <v>0</v>
      </c>
      <c r="G40" s="24"/>
      <c r="H40" s="23">
        <f>F40*H33/F33</f>
        <v>0</v>
      </c>
      <c r="I40" s="24"/>
      <c r="K40" s="49">
        <f>'Facility Index Tool'!G29</f>
        <v>0</v>
      </c>
      <c r="L40" s="24"/>
      <c r="M40" s="9"/>
    </row>
    <row r="41" spans="3:13" x14ac:dyDescent="0.35">
      <c r="C41" s="54" t="s">
        <v>87</v>
      </c>
      <c r="D41" s="21"/>
      <c r="E41" s="27">
        <f>D40/D15</f>
        <v>0</v>
      </c>
      <c r="F41" s="21"/>
      <c r="G41" s="27">
        <f>F40/F15</f>
        <v>0</v>
      </c>
      <c r="H41" s="21"/>
      <c r="I41" s="27">
        <f>H40/H15</f>
        <v>0</v>
      </c>
      <c r="K41" s="21"/>
      <c r="L41" s="27">
        <f>K40/K15</f>
        <v>0</v>
      </c>
      <c r="M41" s="32">
        <f>L41-G41</f>
        <v>0</v>
      </c>
    </row>
    <row r="42" spans="3:13" x14ac:dyDescent="0.35">
      <c r="C42" s="56" t="s">
        <v>90</v>
      </c>
      <c r="D42" s="11"/>
      <c r="E42" s="24"/>
      <c r="F42" s="11"/>
      <c r="G42" s="24"/>
      <c r="H42" s="11"/>
      <c r="I42" s="24"/>
      <c r="K42" s="11"/>
      <c r="L42" s="24"/>
      <c r="M42" s="9"/>
    </row>
    <row r="43" spans="3:13" ht="29" x14ac:dyDescent="0.35">
      <c r="C43" s="57" t="s">
        <v>91</v>
      </c>
      <c r="D43" s="11"/>
      <c r="E43" s="24"/>
      <c r="F43" s="11"/>
      <c r="G43" s="24"/>
      <c r="H43" s="11"/>
      <c r="I43" s="24"/>
      <c r="K43" s="11"/>
      <c r="L43" s="24"/>
      <c r="M43" s="9"/>
    </row>
    <row r="44" spans="3:13" x14ac:dyDescent="0.35">
      <c r="C44" s="57" t="s">
        <v>92</v>
      </c>
      <c r="D44" s="21">
        <v>635000000</v>
      </c>
      <c r="E44" s="24"/>
      <c r="F44" s="23">
        <f>D44</f>
        <v>635000000</v>
      </c>
      <c r="G44" s="24"/>
      <c r="H44" s="21">
        <f>D44</f>
        <v>635000000</v>
      </c>
      <c r="I44" s="24"/>
      <c r="K44" s="23">
        <f>F44</f>
        <v>635000000</v>
      </c>
      <c r="L44" s="24"/>
      <c r="M44" s="9"/>
    </row>
    <row r="45" spans="3:13" x14ac:dyDescent="0.35">
      <c r="C45" s="57" t="s">
        <v>93</v>
      </c>
      <c r="D45" s="21">
        <v>300000000</v>
      </c>
      <c r="E45" s="24"/>
      <c r="F45" s="23">
        <f>D45</f>
        <v>300000000</v>
      </c>
      <c r="G45" s="24"/>
      <c r="H45" s="21">
        <f>F45</f>
        <v>300000000</v>
      </c>
      <c r="I45" s="24"/>
      <c r="K45" s="23">
        <f>F45</f>
        <v>300000000</v>
      </c>
      <c r="L45" s="24"/>
      <c r="M45" s="9"/>
    </row>
    <row r="46" spans="3:13" x14ac:dyDescent="0.35">
      <c r="C46" s="57" t="s">
        <v>94</v>
      </c>
      <c r="D46" s="23">
        <f>D44+D45</f>
        <v>935000000</v>
      </c>
      <c r="E46" s="24"/>
      <c r="F46" s="61">
        <v>935000000</v>
      </c>
      <c r="G46" s="24"/>
      <c r="H46" s="23">
        <f>F46</f>
        <v>935000000</v>
      </c>
      <c r="I46" s="24"/>
      <c r="K46" s="23">
        <f>'Facility Index Tool'!G12</f>
        <v>935000000</v>
      </c>
      <c r="L46" s="24"/>
      <c r="M46" s="9"/>
    </row>
    <row r="47" spans="3:13" x14ac:dyDescent="0.35">
      <c r="C47" s="57" t="s">
        <v>95</v>
      </c>
      <c r="D47" s="34">
        <v>979749</v>
      </c>
      <c r="E47" s="35"/>
      <c r="F47" s="34">
        <f>D47*(1+D48)^5</f>
        <v>1029726.0455754248</v>
      </c>
      <c r="G47" s="24"/>
      <c r="H47" s="34">
        <f>F47*(1+F48)^5</f>
        <v>1029726.0455754248</v>
      </c>
      <c r="I47" s="24"/>
      <c r="K47" s="34">
        <f>D47*(1+D48)^5</f>
        <v>1029726.0455754248</v>
      </c>
      <c r="L47" s="24"/>
      <c r="M47" s="9"/>
    </row>
    <row r="48" spans="3:13" x14ac:dyDescent="0.35">
      <c r="C48" s="57" t="s">
        <v>96</v>
      </c>
      <c r="D48" s="36">
        <v>0.01</v>
      </c>
      <c r="E48" s="35"/>
      <c r="F48" s="34"/>
      <c r="G48" s="24"/>
      <c r="H48" s="34"/>
      <c r="I48" s="24"/>
      <c r="K48" s="34"/>
      <c r="L48" s="24"/>
      <c r="M48" s="9"/>
    </row>
    <row r="49" spans="3:13" x14ac:dyDescent="0.35">
      <c r="C49" s="57" t="s">
        <v>97</v>
      </c>
      <c r="D49" s="34">
        <f>D7</f>
        <v>38608</v>
      </c>
      <c r="E49" s="35"/>
      <c r="F49" s="34">
        <f>F7</f>
        <v>58725.082111772426</v>
      </c>
      <c r="G49" s="24"/>
      <c r="H49" s="34">
        <f>H7</f>
        <v>5740.0456199476803</v>
      </c>
      <c r="I49" s="24"/>
      <c r="K49" s="34">
        <f>K7</f>
        <v>58725.082111772426</v>
      </c>
      <c r="L49" s="24"/>
      <c r="M49" s="9"/>
    </row>
    <row r="50" spans="3:13" ht="29" x14ac:dyDescent="0.35">
      <c r="C50" s="57" t="s">
        <v>98</v>
      </c>
      <c r="D50" s="12">
        <f>D49/(D47+D49)</f>
        <v>3.7912048525222487E-2</v>
      </c>
      <c r="E50" s="24"/>
      <c r="F50" s="12">
        <f>F49/(F47+F49)</f>
        <v>5.395288829968399E-2</v>
      </c>
      <c r="G50" s="24"/>
      <c r="H50" s="12">
        <f>H49/(H47+H49)</f>
        <v>5.5434414209751693E-3</v>
      </c>
      <c r="I50" s="24"/>
      <c r="K50" s="12">
        <f>K49/(K47+K49)</f>
        <v>5.395288829968399E-2</v>
      </c>
      <c r="L50" s="24"/>
      <c r="M50" s="9"/>
    </row>
    <row r="51" spans="3:13" ht="29" x14ac:dyDescent="0.35">
      <c r="C51" s="57" t="s">
        <v>99</v>
      </c>
      <c r="D51" s="12">
        <v>0</v>
      </c>
      <c r="E51" s="24"/>
      <c r="F51" s="36">
        <v>0</v>
      </c>
      <c r="G51" s="24"/>
      <c r="H51" s="36">
        <f>H50*F51/F50</f>
        <v>0</v>
      </c>
      <c r="I51" s="24"/>
      <c r="K51" s="48">
        <f>'Facility Index Tool'!G30</f>
        <v>0</v>
      </c>
      <c r="L51" s="24"/>
      <c r="M51" s="9"/>
    </row>
    <row r="52" spans="3:13" x14ac:dyDescent="0.35">
      <c r="C52" s="57" t="s">
        <v>100</v>
      </c>
      <c r="D52" s="21">
        <v>0</v>
      </c>
      <c r="E52" s="24"/>
      <c r="F52" s="23">
        <f>F46*F51</f>
        <v>0</v>
      </c>
      <c r="G52" s="24"/>
      <c r="H52" s="23">
        <f>H46*H51</f>
        <v>0</v>
      </c>
      <c r="I52" s="24"/>
      <c r="K52" s="23">
        <f>K46*K51</f>
        <v>0</v>
      </c>
      <c r="L52" s="24"/>
      <c r="M52" s="9"/>
    </row>
    <row r="53" spans="3:13" x14ac:dyDescent="0.35">
      <c r="C53" s="57" t="s">
        <v>87</v>
      </c>
      <c r="D53" s="11"/>
      <c r="E53" s="27">
        <f>D52/D15</f>
        <v>0</v>
      </c>
      <c r="F53" s="11"/>
      <c r="G53" s="27">
        <f>F52/F15</f>
        <v>0</v>
      </c>
      <c r="H53" s="11"/>
      <c r="I53" s="27">
        <f>H52/H15</f>
        <v>0</v>
      </c>
      <c r="K53" s="11"/>
      <c r="L53" s="27">
        <f>K52/K15</f>
        <v>0</v>
      </c>
      <c r="M53" s="32">
        <f>L53-G53</f>
        <v>0</v>
      </c>
    </row>
    <row r="54" spans="3:13" x14ac:dyDescent="0.35">
      <c r="C54" s="56" t="s">
        <v>101</v>
      </c>
      <c r="D54" s="11"/>
      <c r="E54" s="28">
        <f>E38+E41+E53</f>
        <v>0.30724602920693422</v>
      </c>
      <c r="F54" s="11"/>
      <c r="G54" s="28">
        <f>G38+G41+G53</f>
        <v>0.24440464823899297</v>
      </c>
      <c r="H54" s="11"/>
      <c r="I54" s="28">
        <f>I38+I41+I53</f>
        <v>0.24440464823899294</v>
      </c>
      <c r="K54" s="11"/>
      <c r="L54" s="28">
        <f>L38+L41+L53</f>
        <v>0.24440464823899297</v>
      </c>
      <c r="M54" s="65">
        <f>L54-G54</f>
        <v>0</v>
      </c>
    </row>
    <row r="55" spans="3:13" x14ac:dyDescent="0.35">
      <c r="C55" s="56"/>
      <c r="D55" s="11"/>
      <c r="E55" s="28"/>
      <c r="F55" s="11"/>
      <c r="G55" s="28"/>
      <c r="H55" s="11"/>
      <c r="I55" s="28"/>
      <c r="K55" s="11"/>
      <c r="L55" s="28"/>
      <c r="M55" s="9"/>
    </row>
    <row r="56" spans="3:13" x14ac:dyDescent="0.35">
      <c r="C56" s="10" t="s">
        <v>102</v>
      </c>
      <c r="D56" s="11"/>
      <c r="E56" s="24"/>
      <c r="F56" s="11"/>
      <c r="G56" s="24"/>
      <c r="H56" s="11"/>
      <c r="I56" s="24"/>
      <c r="K56" s="11"/>
      <c r="L56" s="24"/>
      <c r="M56" s="9"/>
    </row>
    <row r="57" spans="3:13" ht="29" x14ac:dyDescent="0.35">
      <c r="C57" s="58" t="s">
        <v>103</v>
      </c>
      <c r="D57" s="11"/>
      <c r="E57" s="24"/>
      <c r="F57" s="11"/>
      <c r="G57" s="24"/>
      <c r="H57" s="11"/>
      <c r="I57" s="24"/>
      <c r="K57" s="11"/>
      <c r="L57" s="24"/>
      <c r="M57" s="9"/>
    </row>
    <row r="58" spans="3:13" ht="29" x14ac:dyDescent="0.35">
      <c r="C58" s="58" t="s">
        <v>104</v>
      </c>
      <c r="D58" s="33">
        <f>IF(D19="Yes",8,7)</f>
        <v>8</v>
      </c>
      <c r="E58" s="24"/>
      <c r="F58" s="22">
        <f>D58-F59+F60*5</f>
        <v>18</v>
      </c>
      <c r="G58" s="24"/>
      <c r="H58" s="22">
        <f>F60/2</f>
        <v>1.25</v>
      </c>
      <c r="I58" s="24"/>
      <c r="K58" s="33">
        <f>ROUNDDOWN(K61*K20,1)</f>
        <v>18</v>
      </c>
      <c r="L58" s="24"/>
      <c r="M58" s="9"/>
    </row>
    <row r="59" spans="3:13" ht="29" x14ac:dyDescent="0.35">
      <c r="C59" s="58" t="s">
        <v>105</v>
      </c>
      <c r="D59" s="33"/>
      <c r="E59" s="24"/>
      <c r="F59" s="33">
        <v>2.5</v>
      </c>
      <c r="G59" s="24"/>
      <c r="H59" s="12"/>
      <c r="I59" s="24"/>
      <c r="K59" s="33"/>
      <c r="L59" s="24"/>
      <c r="M59" s="9"/>
    </row>
    <row r="60" spans="3:13" ht="29" x14ac:dyDescent="0.35">
      <c r="C60" s="58" t="s">
        <v>106</v>
      </c>
      <c r="D60" s="33"/>
      <c r="E60" s="24"/>
      <c r="F60" s="33">
        <f>2.5*1</f>
        <v>2.5</v>
      </c>
      <c r="G60" s="24"/>
      <c r="H60" s="12"/>
      <c r="I60" s="24"/>
      <c r="K60" s="33"/>
      <c r="L60" s="24"/>
      <c r="M60" s="9"/>
    </row>
    <row r="61" spans="3:13" ht="29" x14ac:dyDescent="0.35">
      <c r="C61" s="58" t="s">
        <v>107</v>
      </c>
      <c r="D61" s="36">
        <f>D58/D20</f>
        <v>8.1632653061224483E-2</v>
      </c>
      <c r="E61" s="24"/>
      <c r="F61" s="36">
        <f>F58/F20</f>
        <v>0.13533834586466165</v>
      </c>
      <c r="G61" s="24"/>
      <c r="H61" s="36">
        <f>H58/H20</f>
        <v>9.6153846153846159E-2</v>
      </c>
      <c r="I61" s="24"/>
      <c r="K61" s="48">
        <f>'Facility Index Tool'!G31</f>
        <v>0.13533834586466165</v>
      </c>
      <c r="L61" s="24"/>
      <c r="M61" s="9"/>
    </row>
    <row r="62" spans="3:13" x14ac:dyDescent="0.35">
      <c r="C62" s="58" t="s">
        <v>108</v>
      </c>
      <c r="D62" s="23">
        <v>0</v>
      </c>
      <c r="E62" s="24"/>
      <c r="F62" s="21">
        <f>D62</f>
        <v>0</v>
      </c>
      <c r="G62" s="24"/>
      <c r="H62" s="21">
        <f>F62</f>
        <v>0</v>
      </c>
      <c r="I62" s="24"/>
      <c r="K62" s="21">
        <f>I62</f>
        <v>0</v>
      </c>
      <c r="L62" s="24"/>
      <c r="M62" s="9"/>
    </row>
    <row r="63" spans="3:13" x14ac:dyDescent="0.35">
      <c r="C63" s="58" t="s">
        <v>109</v>
      </c>
      <c r="D63" s="23">
        <f>D58*D12*D23*D10/2</f>
        <v>936562.47660408169</v>
      </c>
      <c r="E63" s="24"/>
      <c r="F63" s="23">
        <f>F58*D12*F23*D10/2</f>
        <v>2361783.2311185277</v>
      </c>
      <c r="G63" s="24"/>
      <c r="H63" s="23">
        <f>H58*D12*H23*D10/2</f>
        <v>164012.72438323111</v>
      </c>
      <c r="I63" s="24"/>
      <c r="K63" s="23">
        <f>K58*D12*K23*D10/2</f>
        <v>2361783.2311185277</v>
      </c>
      <c r="L63" s="24"/>
      <c r="M63" s="9"/>
    </row>
    <row r="64" spans="3:13" x14ac:dyDescent="0.35">
      <c r="C64" s="58" t="s">
        <v>110</v>
      </c>
      <c r="D64" s="23">
        <f>D58*(D11+D12)*D10*D23-D63-D62*D58</f>
        <v>4682812.3830204085</v>
      </c>
      <c r="E64" s="24"/>
      <c r="F64" s="23">
        <f>F58*(D11+D12)*D10*F23-F63-F62*F58</f>
        <v>11808916.155592641</v>
      </c>
      <c r="G64" s="24"/>
      <c r="H64" s="23">
        <f>H58*(D11+D12)*D10*H23-H63-H62*H58</f>
        <v>820063.62191615568</v>
      </c>
      <c r="I64" s="24"/>
      <c r="K64" s="23">
        <f>K58*(D11+D12)*D10*K23-K63-K62*K58</f>
        <v>11808916.155592641</v>
      </c>
      <c r="L64" s="24"/>
      <c r="M64" s="9"/>
    </row>
    <row r="65" spans="3:13" x14ac:dyDescent="0.35">
      <c r="C65" s="58" t="s">
        <v>87</v>
      </c>
      <c r="D65" s="11"/>
      <c r="E65" s="27">
        <f>D64/D15</f>
        <v>6.8027210884353734E-2</v>
      </c>
      <c r="F65" s="11"/>
      <c r="G65" s="27">
        <f>F64/F15</f>
        <v>9.9682814392050803E-2</v>
      </c>
      <c r="H65" s="11"/>
      <c r="I65" s="27">
        <f>H64/H15</f>
        <v>7.0821657661019013E-2</v>
      </c>
      <c r="K65" s="11"/>
      <c r="L65" s="27">
        <f>K64/K15</f>
        <v>9.9682814392050803E-2</v>
      </c>
      <c r="M65" s="32">
        <f>L65-G65</f>
        <v>0</v>
      </c>
    </row>
    <row r="66" spans="3:13" x14ac:dyDescent="0.35">
      <c r="C66" s="59" t="s">
        <v>111</v>
      </c>
      <c r="D66" s="11"/>
      <c r="E66" s="28">
        <f>E65</f>
        <v>6.8027210884353734E-2</v>
      </c>
      <c r="F66" s="11"/>
      <c r="G66" s="28">
        <f>G65</f>
        <v>9.9682814392050803E-2</v>
      </c>
      <c r="H66" s="11"/>
      <c r="I66" s="28">
        <f>I65</f>
        <v>7.0821657661019013E-2</v>
      </c>
      <c r="K66" s="11"/>
      <c r="L66" s="28">
        <f>L65</f>
        <v>9.9682814392050803E-2</v>
      </c>
      <c r="M66" s="32">
        <f>L66-G66</f>
        <v>0</v>
      </c>
    </row>
    <row r="67" spans="3:13" x14ac:dyDescent="0.35">
      <c r="C67" s="59"/>
      <c r="D67" s="11"/>
      <c r="E67" s="28"/>
      <c r="F67" s="11"/>
      <c r="G67" s="28"/>
      <c r="H67" s="11"/>
      <c r="I67" s="28"/>
      <c r="K67" s="11"/>
      <c r="L67" s="28"/>
      <c r="M67" s="9"/>
    </row>
    <row r="68" spans="3:13" x14ac:dyDescent="0.35">
      <c r="C68" s="10" t="s">
        <v>112</v>
      </c>
      <c r="D68" s="11"/>
      <c r="E68" s="24"/>
      <c r="F68" s="11"/>
      <c r="G68" s="24"/>
      <c r="H68" s="11"/>
      <c r="I68" s="24"/>
      <c r="K68" s="11"/>
      <c r="L68" s="24"/>
      <c r="M68" s="9"/>
    </row>
    <row r="69" spans="3:13" ht="29" x14ac:dyDescent="0.35">
      <c r="C69" s="51" t="s">
        <v>113</v>
      </c>
      <c r="D69" s="11"/>
      <c r="E69" s="24"/>
      <c r="F69" s="11"/>
      <c r="G69" s="24"/>
      <c r="H69" s="11"/>
      <c r="I69" s="24"/>
      <c r="K69" s="11"/>
      <c r="L69" s="24"/>
      <c r="M69" s="9"/>
    </row>
    <row r="70" spans="3:13" ht="29" x14ac:dyDescent="0.35">
      <c r="C70" s="51" t="s">
        <v>114</v>
      </c>
      <c r="D70" s="21">
        <f>45000000</f>
        <v>45000000</v>
      </c>
      <c r="E70" s="24"/>
      <c r="F70" s="23">
        <f>45000000*1</f>
        <v>45000000</v>
      </c>
      <c r="G70" s="24"/>
      <c r="H70" s="23">
        <f>(F70-D70)*H20/F20</f>
        <v>0</v>
      </c>
      <c r="I70" s="24"/>
      <c r="K70" s="49">
        <f>'Facility Index Tool'!G32</f>
        <v>45000000</v>
      </c>
      <c r="L70" s="24"/>
      <c r="M70" s="9"/>
    </row>
    <row r="71" spans="3:13" x14ac:dyDescent="0.35">
      <c r="C71" s="51" t="s">
        <v>115</v>
      </c>
      <c r="D71" s="20">
        <v>33</v>
      </c>
      <c r="E71" s="24"/>
      <c r="F71" s="34">
        <f>D71*F70/D70</f>
        <v>33</v>
      </c>
      <c r="G71" s="24"/>
      <c r="H71" s="34">
        <f>F71*H70/F70</f>
        <v>0</v>
      </c>
      <c r="I71" s="24"/>
      <c r="K71" s="34">
        <f>D71*K70/D70</f>
        <v>33</v>
      </c>
      <c r="L71" s="24"/>
      <c r="M71" s="9"/>
    </row>
    <row r="72" spans="3:13" ht="29" x14ac:dyDescent="0.35">
      <c r="C72" s="51" t="s">
        <v>116</v>
      </c>
      <c r="D72" s="20">
        <f>D70/D28*D7</f>
        <v>2812.5</v>
      </c>
      <c r="E72" s="24"/>
      <c r="F72" s="20">
        <f>D72*F70/D70</f>
        <v>2812.5</v>
      </c>
      <c r="G72" s="24"/>
      <c r="H72" s="20">
        <f>F72*H70/F70</f>
        <v>0</v>
      </c>
      <c r="I72" s="24"/>
      <c r="K72" s="20">
        <f>D72*K70/D70</f>
        <v>2812.5</v>
      </c>
      <c r="L72" s="24"/>
      <c r="M72" s="9"/>
    </row>
    <row r="73" spans="3:13" x14ac:dyDescent="0.35">
      <c r="C73" s="51" t="s">
        <v>117</v>
      </c>
      <c r="D73" s="37">
        <v>0.01</v>
      </c>
      <c r="E73" s="24"/>
      <c r="F73" s="37">
        <v>0.04</v>
      </c>
      <c r="G73" s="24"/>
      <c r="H73" s="37">
        <f>F73</f>
        <v>0.04</v>
      </c>
      <c r="I73" s="24"/>
      <c r="K73" s="37">
        <v>0.04</v>
      </c>
      <c r="L73" s="24"/>
      <c r="M73" s="9"/>
    </row>
    <row r="74" spans="3:13" x14ac:dyDescent="0.35">
      <c r="C74" s="51" t="s">
        <v>118</v>
      </c>
      <c r="D74" s="21">
        <f>D90</f>
        <v>617.54787925729386</v>
      </c>
      <c r="E74" s="24"/>
      <c r="F74" s="21">
        <f>F90</f>
        <v>1037.1178912573312</v>
      </c>
      <c r="G74" s="24"/>
      <c r="H74" s="21">
        <f>H90</f>
        <v>1037.1178912573312</v>
      </c>
      <c r="I74" s="24"/>
      <c r="K74" s="21">
        <f>K90</f>
        <v>1037.1178912573312</v>
      </c>
      <c r="L74" s="24"/>
      <c r="M74" s="9"/>
    </row>
    <row r="75" spans="3:13" ht="29" x14ac:dyDescent="0.35">
      <c r="C75" s="51" t="s">
        <v>119</v>
      </c>
      <c r="D75" s="23">
        <f>D10*D11-D74</f>
        <v>571.10632074270609</v>
      </c>
      <c r="E75" s="24"/>
      <c r="F75" s="23">
        <f>F13*D11/(D11+D12)-F74</f>
        <v>307.73523290960384</v>
      </c>
      <c r="G75" s="24"/>
      <c r="H75" s="23">
        <f>F75</f>
        <v>307.73523290960384</v>
      </c>
      <c r="I75" s="24"/>
      <c r="K75" s="23">
        <f>K13*D11/(D11+D12)-K74</f>
        <v>307.73523290960384</v>
      </c>
      <c r="L75" s="24"/>
      <c r="M75" s="9"/>
    </row>
    <row r="76" spans="3:13" x14ac:dyDescent="0.35">
      <c r="C76" s="51" t="s">
        <v>120</v>
      </c>
      <c r="D76" s="21">
        <f>D72*D75</f>
        <v>1606236.527088861</v>
      </c>
      <c r="E76" s="24"/>
      <c r="F76" s="21">
        <f>(F72-D72)*F75+D76</f>
        <v>1606236.527088861</v>
      </c>
      <c r="G76" s="24"/>
      <c r="H76" s="21">
        <f>H72*H75</f>
        <v>0</v>
      </c>
      <c r="I76" s="24"/>
      <c r="K76" s="21">
        <f>(K72-D72)*K75+D76</f>
        <v>1606236.527088861</v>
      </c>
      <c r="L76" s="24"/>
      <c r="M76" s="9"/>
    </row>
    <row r="77" spans="3:13" x14ac:dyDescent="0.35">
      <c r="C77" s="51" t="s">
        <v>87</v>
      </c>
      <c r="D77" s="21"/>
      <c r="E77" s="27">
        <f>D76/D15</f>
        <v>2.3333796449890719E-2</v>
      </c>
      <c r="F77" s="21"/>
      <c r="G77" s="27">
        <f>F76/F15</f>
        <v>1.3558753021013023E-2</v>
      </c>
      <c r="H77" s="21"/>
      <c r="I77" s="27">
        <f>H76/H15</f>
        <v>0</v>
      </c>
      <c r="K77" s="21"/>
      <c r="L77" s="27">
        <f>K76/K15</f>
        <v>1.3558753021013023E-2</v>
      </c>
      <c r="M77" s="32">
        <f>L77-G77</f>
        <v>0</v>
      </c>
    </row>
    <row r="78" spans="3:13" x14ac:dyDescent="0.35">
      <c r="C78" s="55" t="s">
        <v>121</v>
      </c>
      <c r="D78" s="11"/>
      <c r="E78" s="28">
        <f>E77</f>
        <v>2.3333796449890719E-2</v>
      </c>
      <c r="F78" s="11"/>
      <c r="G78" s="28">
        <f>G77</f>
        <v>1.3558753021013023E-2</v>
      </c>
      <c r="H78" s="11"/>
      <c r="I78" s="28">
        <f>I77</f>
        <v>0</v>
      </c>
      <c r="K78" s="11"/>
      <c r="L78" s="28">
        <f>L77</f>
        <v>1.3558753021013023E-2</v>
      </c>
      <c r="M78" s="65">
        <f>L78-G78</f>
        <v>0</v>
      </c>
    </row>
    <row r="79" spans="3:13" x14ac:dyDescent="0.35">
      <c r="C79" s="74" t="s">
        <v>122</v>
      </c>
      <c r="D79" s="74"/>
      <c r="E79" s="132">
        <f>E78+E66+E54</f>
        <v>0.39860703654117868</v>
      </c>
      <c r="F79" s="76"/>
      <c r="G79" s="75">
        <f>G78+G66+G54</f>
        <v>0.35764621565205679</v>
      </c>
      <c r="H79" s="76"/>
      <c r="I79" s="75">
        <f>I78+I66+I54</f>
        <v>0.31522630590001194</v>
      </c>
      <c r="K79" s="76"/>
      <c r="L79" s="75">
        <f>L78+L66+L54</f>
        <v>0.35764621565205679</v>
      </c>
      <c r="M79" s="77">
        <f>L79-G79</f>
        <v>0</v>
      </c>
    </row>
    <row r="80" spans="3:13" x14ac:dyDescent="0.35">
      <c r="C80" s="52" t="s">
        <v>123</v>
      </c>
      <c r="D80" s="30">
        <f>D15*(1-E79)</f>
        <v>41398293.120290734</v>
      </c>
      <c r="E80" s="27"/>
      <c r="F80" s="30">
        <f>F15*(1-G79)</f>
        <v>76096386.602397159</v>
      </c>
      <c r="G80" s="27"/>
      <c r="H80" s="30">
        <f>H15*(1-I79)</f>
        <v>7929184.5788810058</v>
      </c>
      <c r="I80" s="27"/>
      <c r="J80" s="9"/>
      <c r="K80" s="30">
        <f>K15*(1-L79)</f>
        <v>76096386.602397159</v>
      </c>
      <c r="L80" s="27"/>
      <c r="M80" s="32"/>
    </row>
    <row r="81" spans="3:14" x14ac:dyDescent="0.35">
      <c r="C81" s="52" t="s">
        <v>124</v>
      </c>
      <c r="D81" s="30">
        <f>D80/D7</f>
        <v>1072.2724077986618</v>
      </c>
      <c r="E81" s="27"/>
      <c r="F81" s="30">
        <f>F80/F7</f>
        <v>1295.8072405511778</v>
      </c>
      <c r="G81" s="27"/>
      <c r="H81" s="30">
        <f>H80/H7</f>
        <v>1381.380062786553</v>
      </c>
      <c r="I81" s="27"/>
      <c r="J81" s="9"/>
      <c r="K81" s="30">
        <f>K80/K7</f>
        <v>1295.8072405511778</v>
      </c>
      <c r="L81" s="27"/>
      <c r="M81" s="32"/>
    </row>
    <row r="82" spans="3:14" x14ac:dyDescent="0.35">
      <c r="C82" s="127" t="s">
        <v>125</v>
      </c>
      <c r="D82" s="131">
        <f>D81*D23/E$104</f>
        <v>8.411955124695254</v>
      </c>
      <c r="E82" s="128"/>
      <c r="F82" s="131">
        <f>F81*F23/E104</f>
        <v>11.393390472037728</v>
      </c>
      <c r="G82" s="128"/>
      <c r="H82" s="131">
        <f>H81*H23/E104</f>
        <v>12.145789862171709</v>
      </c>
      <c r="I82" s="128"/>
      <c r="J82" s="129"/>
      <c r="K82" s="131">
        <f>K81*K23/E104</f>
        <v>11.393390472037728</v>
      </c>
      <c r="L82" s="128"/>
      <c r="M82" s="130"/>
    </row>
    <row r="84" spans="3:14" x14ac:dyDescent="0.35">
      <c r="C84" s="50" t="s">
        <v>126</v>
      </c>
      <c r="D84">
        <f>D73*100</f>
        <v>1</v>
      </c>
      <c r="F84">
        <f>F73*100</f>
        <v>4</v>
      </c>
      <c r="H84">
        <f>H73*100</f>
        <v>4</v>
      </c>
      <c r="K84">
        <f>K73*100</f>
        <v>4</v>
      </c>
    </row>
    <row r="85" spans="3:14" x14ac:dyDescent="0.35">
      <c r="D85">
        <f>D84/1200</f>
        <v>8.3333333333333339E-4</v>
      </c>
      <c r="F85">
        <f>F84/1200</f>
        <v>3.3333333333333335E-3</v>
      </c>
      <c r="H85">
        <f>H84/1200</f>
        <v>3.3333333333333335E-3</v>
      </c>
      <c r="K85">
        <f>K84/1200</f>
        <v>3.3333333333333335E-3</v>
      </c>
    </row>
    <row r="86" spans="3:14" x14ac:dyDescent="0.35">
      <c r="D86">
        <f>(1+D85)^360</f>
        <v>1.3496901794402743</v>
      </c>
      <c r="F86">
        <f>(1+F85)^360</f>
        <v>3.3134980146069579</v>
      </c>
      <c r="H86">
        <f>(1+H85)^360</f>
        <v>3.3134980146069579</v>
      </c>
      <c r="K86">
        <f>(1+K85)^360</f>
        <v>3.3134980146069579</v>
      </c>
    </row>
    <row r="87" spans="3:14" x14ac:dyDescent="0.35">
      <c r="D87">
        <f>(D85*D86)/(D86-1)</f>
        <v>3.216395204465072E-3</v>
      </c>
      <c r="F87">
        <f>(F85*F86)/(F86-1)</f>
        <v>4.7741529546545284E-3</v>
      </c>
      <c r="H87">
        <f>(H85*H86)/(H86-1)</f>
        <v>4.7741529546545284E-3</v>
      </c>
      <c r="K87">
        <f>(K85*K86)/(K86-1)</f>
        <v>4.7741529546545284E-3</v>
      </c>
    </row>
    <row r="88" spans="3:14" x14ac:dyDescent="0.35">
      <c r="D88" s="17">
        <f>D87*D25</f>
        <v>20274.054865957143</v>
      </c>
      <c r="F88" s="17">
        <f>F87*F25</f>
        <v>38160.923135134733</v>
      </c>
      <c r="H88" s="17">
        <f>H87*H25</f>
        <v>38160.923135134733</v>
      </c>
      <c r="K88" s="17">
        <f>K87*K25</f>
        <v>38160.923135134733</v>
      </c>
    </row>
    <row r="89" spans="3:14" x14ac:dyDescent="0.35">
      <c r="D89" s="2">
        <f>D88*12</f>
        <v>243288.65839148572</v>
      </c>
      <c r="F89" s="2">
        <f>F88*12</f>
        <v>457931.07762161677</v>
      </c>
      <c r="H89" s="2">
        <f>H88*12</f>
        <v>457931.07762161677</v>
      </c>
      <c r="K89" s="2">
        <f>K88*12</f>
        <v>457931.07762161677</v>
      </c>
    </row>
    <row r="90" spans="3:14" x14ac:dyDescent="0.35">
      <c r="D90" s="2">
        <f>D89/D23</f>
        <v>617.54787925729386</v>
      </c>
      <c r="F90" s="2">
        <f>F89/F23</f>
        <v>1037.1178912573312</v>
      </c>
      <c r="H90" s="2">
        <f>H89/H23</f>
        <v>1037.1178912573312</v>
      </c>
      <c r="K90" s="2">
        <f>K89/K23</f>
        <v>1037.1178912573312</v>
      </c>
    </row>
    <row r="94" spans="3:14" ht="29" x14ac:dyDescent="0.35">
      <c r="C94" s="166"/>
      <c r="D94" s="167" t="s">
        <v>127</v>
      </c>
      <c r="E94" s="167" t="s">
        <v>128</v>
      </c>
      <c r="F94" s="167" t="s">
        <v>129</v>
      </c>
      <c r="G94" s="165"/>
      <c r="H94" s="29"/>
      <c r="I94"/>
      <c r="J94" s="29"/>
      <c r="L94"/>
      <c r="M94" s="29"/>
      <c r="N94" s="3"/>
    </row>
    <row r="95" spans="3:14" x14ac:dyDescent="0.35">
      <c r="C95" s="166" t="s">
        <v>130</v>
      </c>
      <c r="D95" s="172">
        <f>E79</f>
        <v>0.39860703654117868</v>
      </c>
      <c r="E95" s="173">
        <f>G79</f>
        <v>0.35764621565205679</v>
      </c>
      <c r="F95" s="173">
        <f>L79</f>
        <v>0.35764621565205679</v>
      </c>
      <c r="G95"/>
      <c r="H95" s="29"/>
      <c r="I95"/>
      <c r="J95" s="29"/>
      <c r="L95"/>
      <c r="M95" s="29"/>
      <c r="N95" s="3"/>
    </row>
    <row r="96" spans="3:14" x14ac:dyDescent="0.35">
      <c r="C96" s="166" t="s">
        <v>131</v>
      </c>
      <c r="D96" s="173">
        <f>SUM(1-D95)</f>
        <v>0.60139296345882132</v>
      </c>
      <c r="E96" s="173">
        <f>SUM(1-E95)</f>
        <v>0.64235378434794321</v>
      </c>
      <c r="F96" s="173">
        <f>SUM(1-F95)</f>
        <v>0.64235378434794321</v>
      </c>
      <c r="G96"/>
      <c r="H96" s="29"/>
      <c r="I96"/>
      <c r="J96" s="29"/>
      <c r="L96"/>
      <c r="M96" s="29"/>
      <c r="N96" s="3"/>
    </row>
    <row r="97" spans="3:14" x14ac:dyDescent="0.35">
      <c r="C97" s="168" t="s">
        <v>101</v>
      </c>
      <c r="D97" s="177">
        <f>E54</f>
        <v>0.30724602920693422</v>
      </c>
      <c r="E97" s="173">
        <f>G54</f>
        <v>0.24440464823899297</v>
      </c>
      <c r="F97" s="173">
        <f>L54</f>
        <v>0.24440464823899297</v>
      </c>
      <c r="G97"/>
      <c r="H97" s="29"/>
      <c r="I97"/>
      <c r="J97" s="29"/>
      <c r="L97"/>
      <c r="M97" s="29"/>
      <c r="N97" s="3"/>
    </row>
    <row r="98" spans="3:14" x14ac:dyDescent="0.35">
      <c r="C98" s="169" t="s">
        <v>111</v>
      </c>
      <c r="D98" s="178">
        <f>G66</f>
        <v>9.9682814392050803E-2</v>
      </c>
      <c r="E98" s="174">
        <f>G66</f>
        <v>9.9682814392050803E-2</v>
      </c>
      <c r="F98" s="174">
        <f>L66</f>
        <v>9.9682814392050803E-2</v>
      </c>
      <c r="G98"/>
      <c r="H98" s="29"/>
      <c r="I98"/>
      <c r="J98" s="29"/>
      <c r="L98"/>
      <c r="M98" s="29"/>
      <c r="N98" s="3"/>
    </row>
    <row r="99" spans="3:14" x14ac:dyDescent="0.35">
      <c r="C99" s="170" t="s">
        <v>121</v>
      </c>
      <c r="D99" s="172">
        <f>E78</f>
        <v>2.3333796449890719E-2</v>
      </c>
      <c r="E99" s="173">
        <f>G78</f>
        <v>1.3558753021013023E-2</v>
      </c>
      <c r="F99" s="173">
        <f>L78</f>
        <v>1.3558753021013023E-2</v>
      </c>
      <c r="G99"/>
      <c r="H99" s="29"/>
      <c r="I99"/>
      <c r="J99" s="29"/>
      <c r="L99"/>
      <c r="M99" s="29"/>
      <c r="N99" s="3"/>
    </row>
    <row r="100" spans="3:14" x14ac:dyDescent="0.35">
      <c r="C100" s="167" t="s">
        <v>123</v>
      </c>
      <c r="D100" s="179">
        <f>D80</f>
        <v>41398293.120290734</v>
      </c>
      <c r="E100" s="171">
        <f>F80</f>
        <v>76096386.602397159</v>
      </c>
      <c r="F100" s="171">
        <f>K80</f>
        <v>76096386.602397159</v>
      </c>
      <c r="G100"/>
      <c r="H100" s="29"/>
      <c r="I100"/>
      <c r="J100" s="29"/>
      <c r="L100"/>
      <c r="M100" s="29"/>
      <c r="N100" s="3"/>
    </row>
    <row r="101" spans="3:14" x14ac:dyDescent="0.35">
      <c r="C101" s="167" t="s">
        <v>124</v>
      </c>
      <c r="D101" s="179">
        <f>D81</f>
        <v>1072.2724077986618</v>
      </c>
      <c r="E101" s="171">
        <f>F81</f>
        <v>1295.8072405511778</v>
      </c>
      <c r="F101" s="171">
        <f>K81</f>
        <v>1295.8072405511778</v>
      </c>
      <c r="G101"/>
      <c r="H101" s="29"/>
      <c r="I101"/>
      <c r="J101" s="29"/>
      <c r="L101"/>
      <c r="M101" s="29"/>
      <c r="N101" s="3"/>
    </row>
    <row r="102" spans="3:14" x14ac:dyDescent="0.35">
      <c r="C102" s="166" t="s">
        <v>132</v>
      </c>
      <c r="D102" s="180">
        <f>D82</f>
        <v>8.411955124695254</v>
      </c>
      <c r="E102" s="175">
        <f>F82</f>
        <v>11.393390472037728</v>
      </c>
      <c r="F102" s="175">
        <f>E106</f>
        <v>11.393390472037728</v>
      </c>
      <c r="G102"/>
      <c r="H102" s="29"/>
      <c r="I102"/>
      <c r="J102" s="29"/>
      <c r="L102"/>
      <c r="M102" s="29"/>
      <c r="N102" s="3"/>
    </row>
    <row r="103" spans="3:14" x14ac:dyDescent="0.35">
      <c r="C103" s="166"/>
      <c r="D103" s="69"/>
      <c r="E103" s="176"/>
      <c r="F103" s="176"/>
      <c r="G103"/>
      <c r="H103" s="29"/>
      <c r="I103"/>
      <c r="J103" s="29"/>
      <c r="L103"/>
      <c r="M103" s="29"/>
      <c r="N103" s="3"/>
    </row>
    <row r="104" spans="3:14" x14ac:dyDescent="0.35">
      <c r="C104" s="166" t="s">
        <v>133</v>
      </c>
      <c r="D104" s="180">
        <f>E104</f>
        <v>50218</v>
      </c>
      <c r="E104" s="73">
        <v>50218</v>
      </c>
      <c r="F104" s="73">
        <f>E104</f>
        <v>50218</v>
      </c>
      <c r="G104"/>
      <c r="H104" s="29"/>
      <c r="I104"/>
      <c r="J104" s="29"/>
      <c r="L104"/>
      <c r="M104" s="29"/>
      <c r="N104" s="3"/>
    </row>
    <row r="105" spans="3:14" x14ac:dyDescent="0.35">
      <c r="C105" s="166" t="s">
        <v>132</v>
      </c>
      <c r="D105" s="69"/>
      <c r="E105" s="175">
        <f>SUM(D23*D81/E104)</f>
        <v>8.411955124695254</v>
      </c>
      <c r="F105" s="176"/>
      <c r="G105"/>
      <c r="H105" s="29"/>
      <c r="I105"/>
      <c r="J105" s="29"/>
      <c r="L105"/>
      <c r="M105" s="29"/>
      <c r="N105" s="3"/>
    </row>
    <row r="106" spans="3:14" x14ac:dyDescent="0.35">
      <c r="C106" s="166" t="s">
        <v>132</v>
      </c>
      <c r="D106" s="69"/>
      <c r="E106" s="175">
        <f>SUM(K23*K81/E104)</f>
        <v>11.393390472037728</v>
      </c>
      <c r="F106" s="176"/>
      <c r="G106"/>
      <c r="H106" s="29"/>
      <c r="I106"/>
      <c r="J106" s="29"/>
      <c r="L106"/>
      <c r="M106" s="29"/>
      <c r="N106" s="3"/>
    </row>
    <row r="107" spans="3:14" x14ac:dyDescent="0.35">
      <c r="C107" s="166" t="s">
        <v>134</v>
      </c>
      <c r="D107" s="69"/>
      <c r="E107" s="176"/>
      <c r="F107" s="176"/>
      <c r="G107"/>
      <c r="H107" s="29"/>
      <c r="I107"/>
      <c r="J107" s="29"/>
      <c r="L107"/>
      <c r="M107" s="29"/>
      <c r="N107" s="3"/>
    </row>
    <row r="108" spans="3:14" x14ac:dyDescent="0.35">
      <c r="C108" s="166" t="s">
        <v>135</v>
      </c>
      <c r="D108" s="179">
        <v>1000</v>
      </c>
      <c r="E108" s="171">
        <v>1000</v>
      </c>
      <c r="F108" s="171">
        <v>1000</v>
      </c>
      <c r="G108"/>
      <c r="H108" s="29"/>
      <c r="I108"/>
      <c r="J108" s="29"/>
      <c r="L108"/>
      <c r="M108" s="29"/>
      <c r="N108" s="3"/>
    </row>
    <row r="109" spans="3:14" x14ac:dyDescent="0.35">
      <c r="C109" s="166" t="s">
        <v>136</v>
      </c>
      <c r="D109" s="179">
        <f>D101</f>
        <v>1072.2724077986618</v>
      </c>
      <c r="E109" s="171">
        <f>E101</f>
        <v>1295.8072405511778</v>
      </c>
      <c r="F109" s="171">
        <f>F101</f>
        <v>1295.8072405511778</v>
      </c>
      <c r="G109"/>
      <c r="H109" s="29"/>
      <c r="I109"/>
      <c r="J109" s="29"/>
      <c r="L109"/>
      <c r="M109" s="29"/>
      <c r="N109" s="3"/>
    </row>
    <row r="110" spans="3:14" x14ac:dyDescent="0.35">
      <c r="C110" s="166" t="s">
        <v>137</v>
      </c>
      <c r="D110" s="171">
        <f>D108+D109</f>
        <v>2072.2724077986618</v>
      </c>
      <c r="E110" s="171">
        <f>E108+E109</f>
        <v>2295.8072405511775</v>
      </c>
      <c r="F110" s="171">
        <f>F108+F109</f>
        <v>2295.8072405511775</v>
      </c>
      <c r="G110"/>
      <c r="H110" s="29"/>
      <c r="I110"/>
      <c r="J110" s="29"/>
      <c r="L110"/>
      <c r="M110" s="29"/>
      <c r="N110" s="3"/>
    </row>
    <row r="111" spans="3:14" x14ac:dyDescent="0.35">
      <c r="C111" s="166" t="s">
        <v>132</v>
      </c>
      <c r="D111" s="69"/>
      <c r="E111" s="73"/>
      <c r="F111" s="73"/>
      <c r="G111"/>
      <c r="H111" s="29"/>
      <c r="I111"/>
      <c r="J111" s="29"/>
      <c r="L111"/>
      <c r="M111" s="29"/>
      <c r="N111" s="3"/>
    </row>
    <row r="112" spans="3:14" x14ac:dyDescent="0.35">
      <c r="C112" s="166" t="s">
        <v>138</v>
      </c>
      <c r="D112" s="175">
        <f>ROUND(D102,0)</f>
        <v>8</v>
      </c>
      <c r="E112" s="175">
        <f>ROUND(E102,0)</f>
        <v>11</v>
      </c>
      <c r="F112" s="175">
        <f>ROUND(F102,0)</f>
        <v>11</v>
      </c>
      <c r="G112"/>
      <c r="H112" s="29"/>
      <c r="I112"/>
      <c r="J112" s="29"/>
      <c r="L112"/>
      <c r="M112" s="29"/>
      <c r="N112" s="3"/>
    </row>
    <row r="113" spans="3:14" x14ac:dyDescent="0.35">
      <c r="C113" s="166" t="s">
        <v>139</v>
      </c>
      <c r="D113" s="175">
        <f>ROUND(D108*D23/E$104,0)</f>
        <v>8</v>
      </c>
      <c r="E113" s="73">
        <f>ROUND(E108*D23/E$104,0)</f>
        <v>8</v>
      </c>
      <c r="F113" s="73">
        <f>ROUND(F108*D23/D$104,0)</f>
        <v>8</v>
      </c>
      <c r="G113"/>
      <c r="H113" s="29"/>
      <c r="I113"/>
      <c r="J113" s="29"/>
      <c r="L113"/>
      <c r="M113" s="29"/>
      <c r="N113" s="3"/>
    </row>
    <row r="114" spans="3:14" x14ac:dyDescent="0.35">
      <c r="C114" s="166" t="s">
        <v>140</v>
      </c>
      <c r="D114" s="73">
        <f>D112+D113</f>
        <v>16</v>
      </c>
      <c r="E114" s="73">
        <f>E112+E113</f>
        <v>19</v>
      </c>
      <c r="F114" s="73">
        <f>F112+F113</f>
        <v>19</v>
      </c>
      <c r="G114"/>
      <c r="H114" s="29"/>
      <c r="I114"/>
      <c r="J114" s="29"/>
      <c r="L114"/>
      <c r="M114" s="29"/>
      <c r="N114" s="3"/>
    </row>
    <row r="115" spans="3:14" x14ac:dyDescent="0.35">
      <c r="C115" s="50" t="s">
        <v>137</v>
      </c>
    </row>
    <row r="116" spans="3:14" x14ac:dyDescent="0.35">
      <c r="C116" s="166" t="s">
        <v>135</v>
      </c>
      <c r="D116" s="2">
        <f>D108*D7</f>
        <v>38608000</v>
      </c>
      <c r="E116" s="164">
        <f>E108*F7</f>
        <v>58725082.111772425</v>
      </c>
      <c r="F116" s="2">
        <f>F108*K7</f>
        <v>58725082.111772425</v>
      </c>
    </row>
    <row r="117" spans="3:14" x14ac:dyDescent="0.35">
      <c r="C117" s="166" t="s">
        <v>136</v>
      </c>
      <c r="D117" s="2">
        <f>D100</f>
        <v>41398293.120290734</v>
      </c>
      <c r="E117" s="2">
        <f>E100</f>
        <v>76096386.602397159</v>
      </c>
      <c r="F117" s="2">
        <f>F100</f>
        <v>76096386.602397159</v>
      </c>
    </row>
    <row r="118" spans="3:14" x14ac:dyDescent="0.35">
      <c r="C118" s="166" t="s">
        <v>137</v>
      </c>
      <c r="D118" s="2">
        <f>D116+D117</f>
        <v>80006293.120290726</v>
      </c>
      <c r="E118" s="2">
        <f>E116+E117</f>
        <v>134821468.71416959</v>
      </c>
      <c r="F118" s="2">
        <f>F116+F117</f>
        <v>134821468.71416959</v>
      </c>
    </row>
  </sheetData>
  <sheetProtection algorithmName="SHA-512" hashValue="w+31gh/XeMj5Ao92qU2AzpUPjycXauMbWyqcLoXQVMj+fnFT1pJlrji41c5QGiwNkKYR0Z9WhplzY3xWbTnKTA==" saltValue="Fa0qTgv9KlOa15IUWf0f5Q==" spinCount="100000" sheet="1" objects="1" scenarios="1"/>
  <mergeCells count="4">
    <mergeCell ref="D1:E1"/>
    <mergeCell ref="F1:G1"/>
    <mergeCell ref="H1:I1"/>
    <mergeCell ref="K1:L1"/>
  </mergeCells>
  <dataValidations count="1">
    <dataValidation type="list" allowBlank="1" showInputMessage="1" showErrorMessage="1" sqref="D6" xr:uid="{9B6E2A38-B91B-4FB5-9C5D-F1D97C5D19F9}">
      <formula1>"Yes,No"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E6A4E-905A-47F0-A33E-1C7AFE184254}">
  <dimension ref="A1:M18"/>
  <sheetViews>
    <sheetView workbookViewId="0">
      <selection activeCell="H12" sqref="H12"/>
    </sheetView>
  </sheetViews>
  <sheetFormatPr defaultColWidth="8.81640625" defaultRowHeight="14.5" x14ac:dyDescent="0.35"/>
  <cols>
    <col min="1" max="1" width="11.7265625" customWidth="1"/>
    <col min="9" max="9" width="8.81640625" customWidth="1"/>
    <col min="10" max="10" width="26.7265625" style="2" customWidth="1"/>
    <col min="11" max="11" width="10.7265625" style="2" bestFit="1" customWidth="1"/>
    <col min="12" max="12" width="9.81640625" style="5" bestFit="1" customWidth="1"/>
    <col min="13" max="13" width="9.81640625" bestFit="1" customWidth="1"/>
  </cols>
  <sheetData>
    <row r="1" spans="1:13" x14ac:dyDescent="0.35">
      <c r="A1" s="11"/>
      <c r="B1" s="11" t="s">
        <v>141</v>
      </c>
      <c r="C1" s="11" t="s">
        <v>142</v>
      </c>
      <c r="D1" s="11" t="s">
        <v>143</v>
      </c>
      <c r="E1" s="11" t="s">
        <v>144</v>
      </c>
      <c r="F1" s="11" t="s">
        <v>145</v>
      </c>
      <c r="G1" s="11" t="s">
        <v>146</v>
      </c>
      <c r="H1" s="11"/>
      <c r="J1" s="2" t="s">
        <v>147</v>
      </c>
      <c r="K1" s="2" t="s">
        <v>148</v>
      </c>
      <c r="L1" s="5" t="s">
        <v>149</v>
      </c>
      <c r="M1" t="s">
        <v>150</v>
      </c>
    </row>
    <row r="2" spans="1:13" x14ac:dyDescent="0.35">
      <c r="A2" s="11" t="s">
        <v>151</v>
      </c>
      <c r="B2" s="20">
        <v>27947</v>
      </c>
      <c r="C2" s="20">
        <v>30154</v>
      </c>
      <c r="D2" s="20">
        <v>33968</v>
      </c>
      <c r="E2" s="20">
        <v>34873</v>
      </c>
      <c r="F2" s="11"/>
      <c r="G2" s="11"/>
      <c r="H2" s="11"/>
      <c r="J2" s="2" t="s">
        <v>152</v>
      </c>
      <c r="K2" s="1">
        <v>375</v>
      </c>
      <c r="L2" s="2">
        <v>7000000</v>
      </c>
      <c r="M2" s="2">
        <f>L2/K2</f>
        <v>18666.666666666668</v>
      </c>
    </row>
    <row r="3" spans="1:13" x14ac:dyDescent="0.35">
      <c r="A3" s="11" t="s">
        <v>153</v>
      </c>
      <c r="B3" s="11"/>
      <c r="C3" s="12">
        <f>(C2-B2)/B2</f>
        <v>7.8970909221025509E-2</v>
      </c>
      <c r="D3" s="12">
        <f>(D2-C2)/C2</f>
        <v>0.12648404855077269</v>
      </c>
      <c r="E3" s="12">
        <f>(E2-D2)/D2</f>
        <v>2.664272256241168E-2</v>
      </c>
      <c r="F3" s="12"/>
      <c r="G3" s="12"/>
      <c r="H3" s="12">
        <f>AVERAGE(C3:F3)</f>
        <v>7.7365893444736628E-2</v>
      </c>
    </row>
    <row r="4" spans="1:13" x14ac:dyDescent="0.35">
      <c r="A4" s="11"/>
      <c r="B4" s="11"/>
      <c r="C4" s="12"/>
      <c r="D4" s="12"/>
      <c r="E4" s="12"/>
      <c r="F4" s="12"/>
      <c r="G4" s="12"/>
      <c r="H4" s="12"/>
    </row>
    <row r="5" spans="1:13" x14ac:dyDescent="0.35">
      <c r="A5" s="45" t="s">
        <v>151</v>
      </c>
      <c r="B5" s="46">
        <v>25269</v>
      </c>
      <c r="C5" s="46">
        <v>26737</v>
      </c>
      <c r="D5" s="46">
        <v>29178</v>
      </c>
      <c r="E5" s="46">
        <v>29216</v>
      </c>
      <c r="F5" s="46">
        <v>32946</v>
      </c>
      <c r="G5" s="45"/>
      <c r="H5" s="45"/>
      <c r="J5" s="2" t="s">
        <v>154</v>
      </c>
    </row>
    <row r="6" spans="1:13" x14ac:dyDescent="0.35">
      <c r="A6" s="45" t="s">
        <v>153</v>
      </c>
      <c r="B6" s="45"/>
      <c r="C6" s="47">
        <f>(C5-B5)/B5</f>
        <v>5.8094898887965492E-2</v>
      </c>
      <c r="D6" s="47">
        <f>(D5-C5)/C5</f>
        <v>9.1296704940718856E-2</v>
      </c>
      <c r="E6" s="47">
        <f>(E5-D5)/D5</f>
        <v>1.3023510864349852E-3</v>
      </c>
      <c r="F6" s="47">
        <f>(F5-E5)/E5</f>
        <v>0.12766976998904711</v>
      </c>
      <c r="G6" s="47"/>
      <c r="H6" s="47">
        <f>AVERAGE(C6:F6)</f>
        <v>6.9590931226041611E-2</v>
      </c>
      <c r="J6" s="2" t="s">
        <v>155</v>
      </c>
      <c r="K6" s="1">
        <v>980</v>
      </c>
      <c r="L6" s="2">
        <v>841005</v>
      </c>
      <c r="M6" s="2">
        <f>L6/K6</f>
        <v>858.16836734693879</v>
      </c>
    </row>
    <row r="7" spans="1:13" x14ac:dyDescent="0.35">
      <c r="A7" s="11"/>
      <c r="B7" s="11"/>
      <c r="C7" s="12"/>
      <c r="D7" s="12"/>
      <c r="E7" s="12"/>
      <c r="F7" s="12"/>
      <c r="G7" s="12"/>
      <c r="H7" s="12"/>
      <c r="J7" s="2" t="s">
        <v>156</v>
      </c>
      <c r="K7" s="1">
        <v>676</v>
      </c>
      <c r="L7" s="2">
        <v>760480</v>
      </c>
      <c r="M7" s="2">
        <f>L7/K7</f>
        <v>1124.9704142011835</v>
      </c>
    </row>
    <row r="8" spans="1:13" x14ac:dyDescent="0.35">
      <c r="A8" s="45" t="s">
        <v>157</v>
      </c>
      <c r="B8" s="45">
        <v>64</v>
      </c>
      <c r="C8" s="45">
        <v>69</v>
      </c>
      <c r="D8" s="45">
        <v>73</v>
      </c>
      <c r="E8" s="45">
        <v>76</v>
      </c>
      <c r="F8" s="45">
        <v>78</v>
      </c>
      <c r="G8" s="45"/>
      <c r="H8" s="45"/>
      <c r="J8" s="2" t="s">
        <v>158</v>
      </c>
      <c r="K8" s="1">
        <v>707</v>
      </c>
      <c r="L8" s="2">
        <v>912800</v>
      </c>
      <c r="M8" s="2">
        <f>L8/K8</f>
        <v>1291.0891089108911</v>
      </c>
    </row>
    <row r="9" spans="1:13" x14ac:dyDescent="0.35">
      <c r="A9" s="45" t="s">
        <v>153</v>
      </c>
      <c r="B9" s="45"/>
      <c r="C9" s="47">
        <f>(C8-B8)/B8</f>
        <v>7.8125E-2</v>
      </c>
      <c r="D9" s="47">
        <f>(D8-C8)/C8</f>
        <v>5.7971014492753624E-2</v>
      </c>
      <c r="E9" s="47">
        <f>(E8-D8)/D8</f>
        <v>4.1095890410958902E-2</v>
      </c>
      <c r="F9" s="47">
        <f>(F8-E8)/E8</f>
        <v>2.6315789473684209E-2</v>
      </c>
      <c r="G9" s="47"/>
      <c r="H9" s="47">
        <f>AVERAGE(C9:F9)</f>
        <v>5.0876923594349185E-2</v>
      </c>
      <c r="K9" s="1"/>
      <c r="L9" s="2"/>
      <c r="M9" s="2"/>
    </row>
    <row r="10" spans="1:13" x14ac:dyDescent="0.35">
      <c r="A10" s="11"/>
      <c r="B10" s="11"/>
      <c r="C10" s="11"/>
      <c r="D10" s="12"/>
      <c r="E10" s="12"/>
      <c r="F10" s="12"/>
      <c r="G10" s="12"/>
      <c r="H10" s="11"/>
    </row>
    <row r="11" spans="1:13" x14ac:dyDescent="0.35">
      <c r="A11" s="11" t="s">
        <v>52</v>
      </c>
      <c r="B11" s="11"/>
      <c r="C11" s="11"/>
      <c r="D11" s="11">
        <v>4</v>
      </c>
      <c r="E11" s="11">
        <v>7</v>
      </c>
      <c r="F11" s="11">
        <v>7</v>
      </c>
      <c r="G11" s="11"/>
      <c r="H11" s="11"/>
    </row>
    <row r="12" spans="1:13" x14ac:dyDescent="0.35">
      <c r="A12" s="11" t="s">
        <v>153</v>
      </c>
      <c r="B12" s="11"/>
      <c r="C12" s="12"/>
      <c r="D12" s="12">
        <f>D11/C8</f>
        <v>5.7971014492753624E-2</v>
      </c>
      <c r="E12" s="12">
        <f>E11/D8</f>
        <v>9.5890410958904104E-2</v>
      </c>
      <c r="F12" s="12">
        <f>F11/E8</f>
        <v>9.2105263157894732E-2</v>
      </c>
      <c r="G12" s="12"/>
      <c r="H12" s="12">
        <f>AVERAGE(C12:F12)</f>
        <v>8.1988896203184156E-2</v>
      </c>
    </row>
    <row r="13" spans="1:13" x14ac:dyDescent="0.35">
      <c r="A13" s="11"/>
      <c r="B13" s="11"/>
      <c r="C13" s="12"/>
      <c r="D13" s="12"/>
      <c r="E13" s="12"/>
      <c r="F13" s="12"/>
      <c r="G13" s="12"/>
      <c r="H13" s="12"/>
    </row>
    <row r="14" spans="1:13" x14ac:dyDescent="0.35">
      <c r="A14" s="11" t="s">
        <v>159</v>
      </c>
      <c r="B14" s="20">
        <v>989545</v>
      </c>
      <c r="C14" s="20">
        <v>988935</v>
      </c>
      <c r="D14" s="20">
        <v>989855</v>
      </c>
      <c r="E14" s="20">
        <v>983287</v>
      </c>
      <c r="F14" s="11"/>
      <c r="G14" s="11"/>
      <c r="H14" s="11"/>
    </row>
    <row r="15" spans="1:13" x14ac:dyDescent="0.35">
      <c r="A15" s="11" t="s">
        <v>153</v>
      </c>
      <c r="B15" s="12"/>
      <c r="C15" s="12">
        <f>(C14-B14)/B14</f>
        <v>-6.1644493176156716E-4</v>
      </c>
      <c r="D15" s="12">
        <f>(D14-C14)/C14</f>
        <v>9.3029369978815592E-4</v>
      </c>
      <c r="E15" s="12">
        <f>(E14-D14)/D14</f>
        <v>-6.6353152734491419E-3</v>
      </c>
      <c r="F15" s="12"/>
      <c r="G15" s="12"/>
      <c r="H15" s="12">
        <f>AVERAGE(C15:F15)</f>
        <v>-2.1071555018075177E-3</v>
      </c>
    </row>
    <row r="16" spans="1:13" x14ac:dyDescent="0.35">
      <c r="A16" s="11"/>
      <c r="B16" s="11"/>
      <c r="C16" s="11"/>
      <c r="D16" s="11"/>
      <c r="E16" s="11"/>
      <c r="F16" s="11"/>
      <c r="G16" s="11"/>
      <c r="H16" s="11"/>
    </row>
    <row r="17" spans="1:8" x14ac:dyDescent="0.35">
      <c r="A17" s="11" t="s">
        <v>80</v>
      </c>
      <c r="B17" s="21">
        <v>6594</v>
      </c>
      <c r="C17" s="21">
        <v>6398</v>
      </c>
      <c r="D17" s="21">
        <v>6572</v>
      </c>
      <c r="E17" s="21">
        <v>6675</v>
      </c>
      <c r="F17" s="21">
        <v>6747</v>
      </c>
      <c r="G17" s="21"/>
      <c r="H17" s="11"/>
    </row>
    <row r="18" spans="1:8" x14ac:dyDescent="0.35">
      <c r="A18" s="11" t="s">
        <v>153</v>
      </c>
      <c r="B18" s="11"/>
      <c r="C18" s="12">
        <f>(C17-B17)/B17</f>
        <v>-2.9723991507430998E-2</v>
      </c>
      <c r="D18" s="12">
        <f>(D17-C17)/C17</f>
        <v>2.7195998749609252E-2</v>
      </c>
      <c r="E18" s="12">
        <f>(E17-D17)/D17</f>
        <v>1.5672550213024956E-2</v>
      </c>
      <c r="F18" s="12">
        <f>(F17-E17)/E17</f>
        <v>1.0786516853932584E-2</v>
      </c>
      <c r="G18" s="12"/>
      <c r="H18" s="12">
        <f>AVERAGE(C18:F18)</f>
        <v>5.9827685772839484E-3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D35FD-F5A2-427E-9A65-0BD7E27B4754}">
  <dimension ref="A1:Q78"/>
  <sheetViews>
    <sheetView workbookViewId="0">
      <pane xSplit="1" ySplit="1" topLeftCell="B5" activePane="bottomRight" state="frozen"/>
      <selection pane="topRight" activeCell="B1" sqref="B1"/>
      <selection pane="bottomLeft" activeCell="A2" sqref="A2"/>
      <selection pane="bottomRight" activeCell="H78" sqref="H78"/>
    </sheetView>
  </sheetViews>
  <sheetFormatPr defaultColWidth="8.81640625" defaultRowHeight="14.5" x14ac:dyDescent="0.35"/>
  <cols>
    <col min="1" max="1" width="39.26953125" customWidth="1"/>
    <col min="2" max="2" width="20.453125" customWidth="1"/>
    <col min="3" max="3" width="12.453125" customWidth="1"/>
    <col min="4" max="4" width="11.81640625" customWidth="1"/>
    <col min="7" max="7" width="55.1796875" customWidth="1"/>
    <col min="8" max="8" width="15.453125" style="2" customWidth="1"/>
    <col min="9" max="9" width="8.7265625" style="5"/>
    <col min="10" max="10" width="15.453125" style="2" customWidth="1"/>
    <col min="11" max="11" width="8.7265625" style="5"/>
    <col min="12" max="12" width="9.453125" style="1" customWidth="1"/>
    <col min="14" max="15" width="15.453125" style="2" customWidth="1"/>
    <col min="16" max="16" width="9.81640625" bestFit="1" customWidth="1"/>
  </cols>
  <sheetData>
    <row r="1" spans="1:15" s="3" customFormat="1" x14ac:dyDescent="0.35">
      <c r="A1" s="9" t="s">
        <v>160</v>
      </c>
      <c r="B1" s="9" t="s">
        <v>161</v>
      </c>
      <c r="C1" s="31" t="s">
        <v>102</v>
      </c>
      <c r="D1" s="31" t="s">
        <v>162</v>
      </c>
      <c r="E1" s="32" t="s">
        <v>163</v>
      </c>
      <c r="F1" s="32" t="s">
        <v>164</v>
      </c>
      <c r="G1" s="9" t="s">
        <v>165</v>
      </c>
      <c r="H1" s="31" t="s">
        <v>166</v>
      </c>
      <c r="I1" s="32" t="s">
        <v>167</v>
      </c>
      <c r="J1" s="31" t="s">
        <v>168</v>
      </c>
      <c r="K1" s="32" t="s">
        <v>169</v>
      </c>
      <c r="L1" s="42" t="s">
        <v>159</v>
      </c>
      <c r="M1" s="9" t="s">
        <v>170</v>
      </c>
      <c r="N1" s="31" t="s">
        <v>171</v>
      </c>
      <c r="O1" s="31" t="s">
        <v>172</v>
      </c>
    </row>
    <row r="2" spans="1:15" x14ac:dyDescent="0.35">
      <c r="A2" s="11" t="s">
        <v>173</v>
      </c>
      <c r="B2" s="11" t="s">
        <v>174</v>
      </c>
      <c r="C2" s="21">
        <v>199184</v>
      </c>
      <c r="D2" s="21">
        <v>1164487</v>
      </c>
      <c r="E2" s="12">
        <f t="shared" ref="E2:E29" si="0">C2/D2</f>
        <v>0.17104871071982769</v>
      </c>
      <c r="F2" s="12" t="s">
        <v>18</v>
      </c>
      <c r="G2" s="11" t="s">
        <v>175</v>
      </c>
      <c r="H2" s="21">
        <v>7641</v>
      </c>
      <c r="I2" s="12">
        <f t="shared" ref="I2:I17" si="1">(C2+H2)/D2</f>
        <v>0.17761039839860815</v>
      </c>
      <c r="J2" s="21">
        <v>0</v>
      </c>
      <c r="K2" s="12">
        <f>(C2+H2+J2)/(D2+J2)</f>
        <v>0.17761039839860815</v>
      </c>
      <c r="L2" s="20">
        <v>90</v>
      </c>
      <c r="M2" s="21">
        <f>(D2+J2)/L2</f>
        <v>12938.744444444445</v>
      </c>
      <c r="N2" s="21">
        <f>D2+J2</f>
        <v>1164487</v>
      </c>
      <c r="O2" s="21">
        <f>J2+C2</f>
        <v>199184</v>
      </c>
    </row>
    <row r="3" spans="1:15" x14ac:dyDescent="0.35">
      <c r="A3" s="11" t="s">
        <v>176</v>
      </c>
      <c r="B3" s="11" t="s">
        <v>174</v>
      </c>
      <c r="C3" s="21">
        <v>101541</v>
      </c>
      <c r="D3" s="21">
        <v>726416</v>
      </c>
      <c r="E3" s="12">
        <f t="shared" si="0"/>
        <v>0.13978354001013193</v>
      </c>
      <c r="F3" s="12" t="s">
        <v>18</v>
      </c>
      <c r="G3" s="11" t="s">
        <v>175</v>
      </c>
      <c r="H3" s="21">
        <v>15739</v>
      </c>
      <c r="I3" s="12">
        <f t="shared" si="1"/>
        <v>0.16145018832184313</v>
      </c>
      <c r="J3" s="21">
        <v>9703</v>
      </c>
      <c r="K3" s="12">
        <f t="shared" ref="K3:K54" si="2">(C3+H3+J3)/(D3+J3)</f>
        <v>0.17250335883192799</v>
      </c>
      <c r="L3" s="20">
        <v>70</v>
      </c>
      <c r="M3" s="21">
        <f t="shared" ref="M3:M54" si="3">(D3+J3)/L3</f>
        <v>10515.985714285714</v>
      </c>
      <c r="N3" s="21">
        <f t="shared" ref="N3:N54" si="4">D3+J3</f>
        <v>736119</v>
      </c>
      <c r="O3" s="21">
        <f t="shared" ref="O3:O54" si="5">J3+C3</f>
        <v>111244</v>
      </c>
    </row>
    <row r="4" spans="1:15" x14ac:dyDescent="0.35">
      <c r="A4" s="11" t="s">
        <v>177</v>
      </c>
      <c r="B4" s="11" t="s">
        <v>174</v>
      </c>
      <c r="C4" s="21">
        <v>225684</v>
      </c>
      <c r="D4" s="21">
        <v>2422967</v>
      </c>
      <c r="E4" s="12">
        <f t="shared" si="0"/>
        <v>9.3143654040686474E-2</v>
      </c>
      <c r="F4" s="12" t="s">
        <v>178</v>
      </c>
      <c r="G4" s="11" t="s">
        <v>179</v>
      </c>
      <c r="H4" s="21">
        <v>21626</v>
      </c>
      <c r="I4" s="12">
        <f t="shared" si="1"/>
        <v>0.10206907481612419</v>
      </c>
      <c r="J4" s="21">
        <v>109388</v>
      </c>
      <c r="K4" s="12"/>
      <c r="L4" s="20"/>
      <c r="M4" s="21"/>
      <c r="N4" s="21"/>
      <c r="O4" s="21"/>
    </row>
    <row r="5" spans="1:15" x14ac:dyDescent="0.35">
      <c r="A5" s="11" t="s">
        <v>180</v>
      </c>
      <c r="B5" s="11" t="s">
        <v>181</v>
      </c>
      <c r="C5" s="21">
        <v>276809</v>
      </c>
      <c r="D5" s="21">
        <v>7377755</v>
      </c>
      <c r="E5" s="12">
        <f t="shared" si="0"/>
        <v>3.7519408004196397E-2</v>
      </c>
      <c r="F5" s="12"/>
      <c r="G5" s="11" t="s">
        <v>182</v>
      </c>
      <c r="H5" s="21">
        <v>86178</v>
      </c>
      <c r="I5" s="12">
        <f t="shared" si="1"/>
        <v>4.9200197078921704E-2</v>
      </c>
      <c r="J5" s="21">
        <v>249731</v>
      </c>
      <c r="K5" s="12">
        <f t="shared" si="2"/>
        <v>8.0330268715013045E-2</v>
      </c>
      <c r="L5" s="20">
        <v>750</v>
      </c>
      <c r="M5" s="21">
        <f t="shared" si="3"/>
        <v>10169.981333333333</v>
      </c>
      <c r="N5" s="21">
        <f t="shared" si="4"/>
        <v>7627486</v>
      </c>
      <c r="O5" s="21">
        <f t="shared" si="5"/>
        <v>526540</v>
      </c>
    </row>
    <row r="6" spans="1:15" x14ac:dyDescent="0.35">
      <c r="A6" s="11" t="s">
        <v>156</v>
      </c>
      <c r="B6" s="11" t="s">
        <v>174</v>
      </c>
      <c r="C6" s="21">
        <v>1257583</v>
      </c>
      <c r="D6" s="21">
        <v>7252585</v>
      </c>
      <c r="E6" s="12">
        <f t="shared" si="0"/>
        <v>0.17339789881814552</v>
      </c>
      <c r="F6" s="12" t="s">
        <v>18</v>
      </c>
      <c r="G6" s="11" t="s">
        <v>175</v>
      </c>
      <c r="H6" s="21">
        <v>0</v>
      </c>
      <c r="I6" s="12">
        <f t="shared" si="1"/>
        <v>0.17339789881814552</v>
      </c>
      <c r="J6" s="21">
        <v>0</v>
      </c>
      <c r="K6" s="12">
        <f t="shared" si="2"/>
        <v>0.17339789881814552</v>
      </c>
      <c r="L6" s="20">
        <v>665</v>
      </c>
      <c r="M6" s="21">
        <f t="shared" si="3"/>
        <v>10906.142857142857</v>
      </c>
      <c r="N6" s="21">
        <f t="shared" si="4"/>
        <v>7252585</v>
      </c>
      <c r="O6" s="21">
        <f t="shared" si="5"/>
        <v>1257583</v>
      </c>
    </row>
    <row r="7" spans="1:15" x14ac:dyDescent="0.35">
      <c r="A7" s="11" t="s">
        <v>183</v>
      </c>
      <c r="B7" s="11" t="s">
        <v>184</v>
      </c>
      <c r="C7" s="21">
        <v>1559725</v>
      </c>
      <c r="D7" s="21">
        <v>7626359</v>
      </c>
      <c r="E7" s="12">
        <f t="shared" si="0"/>
        <v>0.20451764728096331</v>
      </c>
      <c r="F7" s="12" t="s">
        <v>18</v>
      </c>
      <c r="G7" s="11" t="s">
        <v>175</v>
      </c>
      <c r="H7" s="21">
        <v>0</v>
      </c>
      <c r="I7" s="12">
        <f t="shared" si="1"/>
        <v>0.20451764728096331</v>
      </c>
      <c r="J7" s="21">
        <v>0</v>
      </c>
      <c r="K7" s="12">
        <f t="shared" si="2"/>
        <v>0.20451764728096331</v>
      </c>
      <c r="L7" s="20">
        <v>690</v>
      </c>
      <c r="M7" s="21">
        <f t="shared" si="3"/>
        <v>11052.69420289855</v>
      </c>
      <c r="N7" s="21">
        <f t="shared" si="4"/>
        <v>7626359</v>
      </c>
      <c r="O7" s="21">
        <f t="shared" si="5"/>
        <v>1559725</v>
      </c>
    </row>
    <row r="8" spans="1:15" x14ac:dyDescent="0.35">
      <c r="A8" s="11" t="s">
        <v>185</v>
      </c>
      <c r="B8" s="11" t="s">
        <v>174</v>
      </c>
      <c r="C8" s="21">
        <v>448519</v>
      </c>
      <c r="D8" s="21">
        <v>11939593</v>
      </c>
      <c r="E8" s="12">
        <f t="shared" si="0"/>
        <v>3.7565685865506473E-2</v>
      </c>
      <c r="F8" s="12"/>
      <c r="G8" s="11" t="s">
        <v>186</v>
      </c>
      <c r="H8" s="21">
        <v>1128287</v>
      </c>
      <c r="I8" s="12">
        <f t="shared" si="1"/>
        <v>0.13206530574367151</v>
      </c>
      <c r="J8" s="21">
        <v>308467</v>
      </c>
      <c r="K8" s="12">
        <f t="shared" si="2"/>
        <v>0.15392421330398448</v>
      </c>
      <c r="L8" s="20">
        <f>442+427</f>
        <v>869</v>
      </c>
      <c r="M8" s="21">
        <f t="shared" si="3"/>
        <v>14094.430379746835</v>
      </c>
      <c r="N8" s="21">
        <f t="shared" si="4"/>
        <v>12248060</v>
      </c>
      <c r="O8" s="21">
        <f t="shared" si="5"/>
        <v>756986</v>
      </c>
    </row>
    <row r="9" spans="1:15" x14ac:dyDescent="0.35">
      <c r="A9" s="11" t="s">
        <v>187</v>
      </c>
      <c r="B9" s="11" t="s">
        <v>188</v>
      </c>
      <c r="C9" s="21">
        <v>123261</v>
      </c>
      <c r="D9" s="21">
        <v>2471049</v>
      </c>
      <c r="E9" s="12">
        <f t="shared" ref="E9" si="6">C9/D9</f>
        <v>4.9882054139760081E-2</v>
      </c>
      <c r="F9" s="12" t="s">
        <v>189</v>
      </c>
      <c r="G9" s="11" t="s">
        <v>190</v>
      </c>
      <c r="H9" s="21">
        <v>94303</v>
      </c>
      <c r="I9" s="12">
        <f t="shared" ref="I9" si="7">(C9+H9)/D9</f>
        <v>8.8045198618076775E-2</v>
      </c>
      <c r="J9" s="21">
        <v>107100</v>
      </c>
      <c r="K9" s="12">
        <f t="shared" ref="K9" si="8">(C9+H9+J9)/(D9+J9)</f>
        <v>0.12592910650237826</v>
      </c>
      <c r="L9" s="20">
        <v>280</v>
      </c>
      <c r="M9" s="21">
        <f t="shared" si="3"/>
        <v>9207.6749999999993</v>
      </c>
      <c r="N9" s="21">
        <f t="shared" si="4"/>
        <v>2578149</v>
      </c>
      <c r="O9" s="21">
        <f t="shared" si="5"/>
        <v>230361</v>
      </c>
    </row>
    <row r="10" spans="1:15" x14ac:dyDescent="0.35">
      <c r="A10" s="11" t="s">
        <v>191</v>
      </c>
      <c r="B10" s="11" t="s">
        <v>192</v>
      </c>
      <c r="C10" s="21">
        <v>22667</v>
      </c>
      <c r="D10" s="21">
        <v>1224403</v>
      </c>
      <c r="E10" s="12">
        <f t="shared" si="0"/>
        <v>1.8512695574904668E-2</v>
      </c>
      <c r="F10" s="12" t="s">
        <v>193</v>
      </c>
      <c r="G10" s="11" t="s">
        <v>194</v>
      </c>
      <c r="H10" s="21">
        <v>44</v>
      </c>
      <c r="I10" s="12">
        <f t="shared" si="1"/>
        <v>1.8548631455493004E-2</v>
      </c>
      <c r="J10" s="21">
        <v>4459</v>
      </c>
      <c r="K10" s="12">
        <f t="shared" si="2"/>
        <v>2.210988703369459E-2</v>
      </c>
      <c r="L10" s="20">
        <v>120</v>
      </c>
      <c r="M10" s="21">
        <f t="shared" si="3"/>
        <v>10240.516666666666</v>
      </c>
      <c r="N10" s="21">
        <f t="shared" si="4"/>
        <v>1228862</v>
      </c>
      <c r="O10" s="21">
        <f t="shared" si="5"/>
        <v>27126</v>
      </c>
    </row>
    <row r="11" spans="1:15" x14ac:dyDescent="0.35">
      <c r="A11" s="11" t="s">
        <v>195</v>
      </c>
      <c r="B11" s="11" t="s">
        <v>184</v>
      </c>
      <c r="C11" s="21">
        <v>240374</v>
      </c>
      <c r="D11" s="21">
        <v>6198482</v>
      </c>
      <c r="E11" s="12">
        <f t="shared" si="0"/>
        <v>3.8779494721449544E-2</v>
      </c>
      <c r="F11" s="12"/>
      <c r="G11" s="11" t="s">
        <v>196</v>
      </c>
      <c r="H11" s="21">
        <v>193210</v>
      </c>
      <c r="I11" s="12">
        <f t="shared" si="1"/>
        <v>6.9950029700820301E-2</v>
      </c>
      <c r="J11" s="21">
        <v>616000</v>
      </c>
      <c r="K11" s="12">
        <f t="shared" si="2"/>
        <v>0.15402256547159418</v>
      </c>
      <c r="L11" s="20">
        <v>600</v>
      </c>
      <c r="M11" s="21">
        <f t="shared" si="3"/>
        <v>11357.47</v>
      </c>
      <c r="N11" s="21">
        <f t="shared" si="4"/>
        <v>6814482</v>
      </c>
      <c r="O11" s="21">
        <f t="shared" si="5"/>
        <v>856374</v>
      </c>
    </row>
    <row r="12" spans="1:15" x14ac:dyDescent="0.35">
      <c r="A12" s="11" t="s">
        <v>197</v>
      </c>
      <c r="B12" s="11" t="s">
        <v>174</v>
      </c>
      <c r="C12" s="21">
        <v>207361</v>
      </c>
      <c r="D12" s="21">
        <v>1458489</v>
      </c>
      <c r="E12" s="12">
        <f t="shared" si="0"/>
        <v>0.14217522381039555</v>
      </c>
      <c r="F12" s="12" t="s">
        <v>18</v>
      </c>
      <c r="G12" s="11" t="s">
        <v>175</v>
      </c>
      <c r="H12" s="21">
        <v>6403</v>
      </c>
      <c r="I12" s="12">
        <f t="shared" si="1"/>
        <v>0.14656538376360739</v>
      </c>
      <c r="J12" s="21">
        <v>22082</v>
      </c>
      <c r="K12" s="12">
        <f t="shared" si="2"/>
        <v>0.15929394807814012</v>
      </c>
      <c r="L12" s="20">
        <v>130</v>
      </c>
      <c r="M12" s="21">
        <f t="shared" si="3"/>
        <v>11389.007692307692</v>
      </c>
      <c r="N12" s="21">
        <f t="shared" si="4"/>
        <v>1480571</v>
      </c>
      <c r="O12" s="21">
        <f t="shared" si="5"/>
        <v>229443</v>
      </c>
    </row>
    <row r="13" spans="1:15" x14ac:dyDescent="0.35">
      <c r="A13" s="11" t="s">
        <v>198</v>
      </c>
      <c r="B13" s="11" t="s">
        <v>199</v>
      </c>
      <c r="C13" s="21">
        <v>158640</v>
      </c>
      <c r="D13" s="21">
        <v>4228830</v>
      </c>
      <c r="E13" s="12">
        <f t="shared" si="0"/>
        <v>3.7513922290562635E-2</v>
      </c>
      <c r="F13" s="12"/>
      <c r="G13" s="11" t="s">
        <v>182</v>
      </c>
      <c r="H13" s="21">
        <v>174574</v>
      </c>
      <c r="I13" s="12">
        <f t="shared" si="1"/>
        <v>7.8795789852039458E-2</v>
      </c>
      <c r="J13" s="21">
        <v>252699</v>
      </c>
      <c r="K13" s="12">
        <f t="shared" si="2"/>
        <v>0.1307395310841456</v>
      </c>
      <c r="L13" s="20">
        <v>542</v>
      </c>
      <c r="M13" s="21">
        <f t="shared" si="3"/>
        <v>8268.5036900368996</v>
      </c>
      <c r="N13" s="21">
        <f t="shared" si="4"/>
        <v>4481529</v>
      </c>
      <c r="O13" s="21">
        <f t="shared" si="5"/>
        <v>411339</v>
      </c>
    </row>
    <row r="14" spans="1:15" x14ac:dyDescent="0.35">
      <c r="A14" s="11" t="s">
        <v>200</v>
      </c>
      <c r="B14" s="11" t="s">
        <v>174</v>
      </c>
      <c r="C14" s="21">
        <v>403737</v>
      </c>
      <c r="D14" s="21">
        <v>2967272</v>
      </c>
      <c r="E14" s="12">
        <f t="shared" si="0"/>
        <v>0.13606336055474524</v>
      </c>
      <c r="F14" s="12" t="s">
        <v>18</v>
      </c>
      <c r="G14" s="11" t="s">
        <v>175</v>
      </c>
      <c r="H14" s="21">
        <v>0</v>
      </c>
      <c r="I14" s="12">
        <f t="shared" si="1"/>
        <v>0.13606336055474524</v>
      </c>
      <c r="J14" s="21">
        <v>0</v>
      </c>
      <c r="K14" s="12">
        <f t="shared" si="2"/>
        <v>0.13606336055474524</v>
      </c>
      <c r="L14" s="20">
        <v>194</v>
      </c>
      <c r="M14" s="21">
        <f t="shared" si="3"/>
        <v>15295.216494845361</v>
      </c>
      <c r="N14" s="21">
        <f t="shared" si="4"/>
        <v>2967272</v>
      </c>
      <c r="O14" s="21">
        <f t="shared" si="5"/>
        <v>403737</v>
      </c>
    </row>
    <row r="15" spans="1:15" x14ac:dyDescent="0.35">
      <c r="A15" s="11" t="s">
        <v>201</v>
      </c>
      <c r="B15" s="11" t="s">
        <v>202</v>
      </c>
      <c r="C15" s="21">
        <v>94741</v>
      </c>
      <c r="D15" s="21">
        <v>4254418</v>
      </c>
      <c r="E15" s="12">
        <f t="shared" si="0"/>
        <v>2.2268850874549703E-2</v>
      </c>
      <c r="F15" s="12"/>
      <c r="G15" s="11" t="s">
        <v>203</v>
      </c>
      <c r="H15" s="21">
        <v>479622</v>
      </c>
      <c r="I15" s="12">
        <f t="shared" si="1"/>
        <v>0.13500389477479646</v>
      </c>
      <c r="J15" s="21">
        <v>117500</v>
      </c>
      <c r="K15" s="12">
        <f t="shared" si="2"/>
        <v>0.15825159575271083</v>
      </c>
      <c r="L15" s="20">
        <v>530</v>
      </c>
      <c r="M15" s="21">
        <f t="shared" si="3"/>
        <v>8248.9018867924533</v>
      </c>
      <c r="N15" s="21">
        <f t="shared" si="4"/>
        <v>4371918</v>
      </c>
      <c r="O15" s="21">
        <f t="shared" si="5"/>
        <v>212241</v>
      </c>
    </row>
    <row r="16" spans="1:15" x14ac:dyDescent="0.35">
      <c r="A16" s="11" t="s">
        <v>204</v>
      </c>
      <c r="B16" s="11" t="s">
        <v>205</v>
      </c>
      <c r="C16" s="21">
        <v>126765</v>
      </c>
      <c r="D16" s="21">
        <v>1003405</v>
      </c>
      <c r="E16" s="12">
        <f t="shared" si="0"/>
        <v>0.12633482990417627</v>
      </c>
      <c r="F16" s="12" t="s">
        <v>18</v>
      </c>
      <c r="G16" s="11" t="s">
        <v>206</v>
      </c>
      <c r="H16" s="21">
        <v>0</v>
      </c>
      <c r="I16" s="12">
        <f t="shared" si="1"/>
        <v>0.12633482990417627</v>
      </c>
      <c r="J16" s="21">
        <v>0</v>
      </c>
      <c r="K16" s="12">
        <f t="shared" si="2"/>
        <v>0.12633482990417627</v>
      </c>
      <c r="L16" s="20"/>
      <c r="M16" s="21"/>
      <c r="N16" s="21"/>
      <c r="O16" s="21"/>
    </row>
    <row r="17" spans="1:15" x14ac:dyDescent="0.35">
      <c r="A17" s="11" t="s">
        <v>207</v>
      </c>
      <c r="B17" s="11" t="s">
        <v>208</v>
      </c>
      <c r="C17" s="21">
        <v>180775</v>
      </c>
      <c r="D17" s="21">
        <v>3441657</v>
      </c>
      <c r="E17" s="12">
        <f t="shared" si="0"/>
        <v>5.2525571258263098E-2</v>
      </c>
      <c r="F17" s="12" t="s">
        <v>18</v>
      </c>
      <c r="G17" s="11" t="s">
        <v>175</v>
      </c>
      <c r="H17" s="21">
        <v>23849</v>
      </c>
      <c r="I17" s="12">
        <f t="shared" si="1"/>
        <v>5.9455082246720109E-2</v>
      </c>
      <c r="J17" s="21">
        <v>109837</v>
      </c>
      <c r="K17" s="12">
        <f t="shared" si="2"/>
        <v>8.8543300368802536E-2</v>
      </c>
      <c r="L17" s="20">
        <v>398</v>
      </c>
      <c r="M17" s="21">
        <f t="shared" si="3"/>
        <v>8923.3517587939696</v>
      </c>
      <c r="N17" s="21">
        <f t="shared" si="4"/>
        <v>3551494</v>
      </c>
      <c r="O17" s="21">
        <f t="shared" si="5"/>
        <v>290612</v>
      </c>
    </row>
    <row r="18" spans="1:15" x14ac:dyDescent="0.35">
      <c r="A18" s="11" t="s">
        <v>209</v>
      </c>
      <c r="B18" s="11" t="s">
        <v>184</v>
      </c>
      <c r="C18" s="21">
        <v>379585</v>
      </c>
      <c r="D18" s="21">
        <v>4113801</v>
      </c>
      <c r="E18" s="12">
        <f t="shared" si="0"/>
        <v>9.2271113746143774E-2</v>
      </c>
      <c r="F18" s="12" t="s">
        <v>18</v>
      </c>
      <c r="G18" s="11" t="s">
        <v>210</v>
      </c>
      <c r="H18" s="21">
        <v>39974</v>
      </c>
      <c r="I18" s="12">
        <f t="shared" ref="I18:I29" si="9">(C18+H18)/D18</f>
        <v>0.10198816131358809</v>
      </c>
      <c r="J18" s="21">
        <v>224990</v>
      </c>
      <c r="K18" s="12">
        <f t="shared" si="2"/>
        <v>0.14855497764238931</v>
      </c>
      <c r="L18" s="20">
        <v>415</v>
      </c>
      <c r="M18" s="21">
        <f t="shared" si="3"/>
        <v>10454.918072289156</v>
      </c>
      <c r="N18" s="21">
        <f t="shared" si="4"/>
        <v>4338791</v>
      </c>
      <c r="O18" s="21">
        <f t="shared" si="5"/>
        <v>604575</v>
      </c>
    </row>
    <row r="19" spans="1:15" x14ac:dyDescent="0.35">
      <c r="A19" s="11" t="s">
        <v>211</v>
      </c>
      <c r="B19" s="11" t="s">
        <v>212</v>
      </c>
      <c r="C19" s="21">
        <v>75140</v>
      </c>
      <c r="D19" s="21">
        <v>1729335</v>
      </c>
      <c r="E19" s="12">
        <f t="shared" si="0"/>
        <v>4.3450227977806496E-2</v>
      </c>
      <c r="F19" s="12" t="s">
        <v>212</v>
      </c>
      <c r="G19" s="11" t="s">
        <v>213</v>
      </c>
      <c r="H19" s="21">
        <v>0</v>
      </c>
      <c r="I19" s="12">
        <f t="shared" si="9"/>
        <v>4.3450227977806496E-2</v>
      </c>
      <c r="J19" s="21"/>
      <c r="K19" s="12"/>
      <c r="L19" s="20"/>
      <c r="M19" s="21"/>
      <c r="N19" s="21"/>
      <c r="O19" s="21"/>
    </row>
    <row r="20" spans="1:15" x14ac:dyDescent="0.35">
      <c r="A20" s="11" t="s">
        <v>214</v>
      </c>
      <c r="B20" s="11" t="s">
        <v>212</v>
      </c>
      <c r="C20" s="21">
        <v>127441</v>
      </c>
      <c r="D20" s="21">
        <v>792005</v>
      </c>
      <c r="E20" s="12">
        <f t="shared" si="0"/>
        <v>0.16090933769357516</v>
      </c>
      <c r="F20" s="12" t="s">
        <v>212</v>
      </c>
      <c r="G20" s="11" t="s">
        <v>213</v>
      </c>
      <c r="H20" s="21">
        <v>0</v>
      </c>
      <c r="I20" s="12">
        <f t="shared" si="9"/>
        <v>0.16090933769357516</v>
      </c>
      <c r="J20" s="21"/>
      <c r="K20" s="12"/>
      <c r="L20" s="20"/>
      <c r="M20" s="21"/>
      <c r="N20" s="21"/>
      <c r="O20" s="21"/>
    </row>
    <row r="21" spans="1:15" x14ac:dyDescent="0.35">
      <c r="A21" s="11" t="s">
        <v>215</v>
      </c>
      <c r="B21" s="11" t="s">
        <v>174</v>
      </c>
      <c r="C21" s="21">
        <v>1187170</v>
      </c>
      <c r="D21" s="21">
        <v>7746165</v>
      </c>
      <c r="E21" s="12">
        <f t="shared" ref="E21" si="10">C21/D21</f>
        <v>0.15325906432408812</v>
      </c>
      <c r="F21" s="12" t="s">
        <v>18</v>
      </c>
      <c r="G21" s="11" t="s">
        <v>216</v>
      </c>
      <c r="H21" s="21">
        <v>3384</v>
      </c>
      <c r="I21" s="12">
        <f t="shared" ref="I21" si="11">(C21+H21)/D21</f>
        <v>0.15369592566127885</v>
      </c>
      <c r="J21" s="21">
        <v>0</v>
      </c>
      <c r="K21" s="12">
        <f t="shared" si="2"/>
        <v>0.15369592566127885</v>
      </c>
      <c r="L21" s="20">
        <v>475</v>
      </c>
      <c r="M21" s="21">
        <f t="shared" si="3"/>
        <v>16307.715789473685</v>
      </c>
      <c r="N21" s="21">
        <f t="shared" si="4"/>
        <v>7746165</v>
      </c>
      <c r="O21" s="21">
        <f t="shared" si="5"/>
        <v>1187170</v>
      </c>
    </row>
    <row r="22" spans="1:15" x14ac:dyDescent="0.35">
      <c r="A22" s="11" t="s">
        <v>217</v>
      </c>
      <c r="B22" s="11" t="s">
        <v>212</v>
      </c>
      <c r="C22" s="21">
        <f>194978+17091</f>
        <v>212069</v>
      </c>
      <c r="D22" s="21">
        <v>4395652</v>
      </c>
      <c r="E22" s="12">
        <f t="shared" si="0"/>
        <v>4.8245175004754698E-2</v>
      </c>
      <c r="F22" s="12" t="s">
        <v>212</v>
      </c>
      <c r="G22" s="11" t="s">
        <v>218</v>
      </c>
      <c r="H22" s="21">
        <v>130303</v>
      </c>
      <c r="I22" s="12">
        <f t="shared" si="9"/>
        <v>7.7888786464442597E-2</v>
      </c>
      <c r="J22" s="21"/>
      <c r="K22" s="12"/>
      <c r="L22" s="20"/>
      <c r="M22" s="21"/>
      <c r="N22" s="21"/>
      <c r="O22" s="21"/>
    </row>
    <row r="23" spans="1:15" x14ac:dyDescent="0.35">
      <c r="A23" s="11" t="s">
        <v>219</v>
      </c>
      <c r="B23" s="11" t="s">
        <v>174</v>
      </c>
      <c r="C23" s="21">
        <v>970695</v>
      </c>
      <c r="D23" s="21">
        <v>12300097</v>
      </c>
      <c r="E23" s="12">
        <f t="shared" si="0"/>
        <v>7.8917670324063299E-2</v>
      </c>
      <c r="F23" s="12"/>
      <c r="G23" s="11" t="s">
        <v>220</v>
      </c>
      <c r="H23" s="21">
        <v>343256</v>
      </c>
      <c r="I23" s="12">
        <f t="shared" si="9"/>
        <v>0.10682444211618819</v>
      </c>
      <c r="J23" s="21">
        <v>1149802</v>
      </c>
      <c r="K23" s="12">
        <f t="shared" si="2"/>
        <v>0.18318003726273335</v>
      </c>
      <c r="L23" s="20"/>
      <c r="M23" s="21"/>
      <c r="N23" s="21"/>
      <c r="O23" s="21"/>
    </row>
    <row r="24" spans="1:15" x14ac:dyDescent="0.35">
      <c r="A24" s="11" t="s">
        <v>221</v>
      </c>
      <c r="B24" s="11" t="s">
        <v>184</v>
      </c>
      <c r="C24" s="21">
        <v>160852</v>
      </c>
      <c r="D24" s="21">
        <v>1674074</v>
      </c>
      <c r="E24" s="12">
        <f t="shared" si="0"/>
        <v>9.6084163543547055E-2</v>
      </c>
      <c r="F24" s="12" t="s">
        <v>18</v>
      </c>
      <c r="G24" s="11" t="s">
        <v>210</v>
      </c>
      <c r="H24" s="21">
        <v>9250</v>
      </c>
      <c r="I24" s="12">
        <f t="shared" si="9"/>
        <v>0.10160960626591178</v>
      </c>
      <c r="J24" s="21">
        <v>100000</v>
      </c>
      <c r="K24" s="12">
        <f t="shared" si="2"/>
        <v>0.15224956794361452</v>
      </c>
      <c r="L24" s="20">
        <v>160</v>
      </c>
      <c r="M24" s="21">
        <f t="shared" si="3"/>
        <v>11087.9625</v>
      </c>
      <c r="N24" s="21">
        <f t="shared" si="4"/>
        <v>1774074</v>
      </c>
      <c r="O24" s="21">
        <f t="shared" si="5"/>
        <v>260852</v>
      </c>
    </row>
    <row r="25" spans="1:15" x14ac:dyDescent="0.35">
      <c r="A25" s="11" t="s">
        <v>222</v>
      </c>
      <c r="B25" s="11" t="s">
        <v>174</v>
      </c>
      <c r="C25" s="21">
        <v>403563</v>
      </c>
      <c r="D25" s="21">
        <v>7508968</v>
      </c>
      <c r="E25" s="12">
        <f t="shared" si="0"/>
        <v>5.3744136344701432E-2</v>
      </c>
      <c r="F25" s="12" t="s">
        <v>223</v>
      </c>
      <c r="G25" s="11" t="s">
        <v>224</v>
      </c>
      <c r="H25" s="21">
        <v>0</v>
      </c>
      <c r="I25" s="12">
        <f t="shared" si="9"/>
        <v>5.3744136344701432E-2</v>
      </c>
      <c r="J25" s="21">
        <v>0</v>
      </c>
      <c r="K25" s="12"/>
      <c r="L25" s="20"/>
      <c r="M25" s="21"/>
      <c r="N25" s="21"/>
      <c r="O25" s="21"/>
    </row>
    <row r="26" spans="1:15" x14ac:dyDescent="0.35">
      <c r="A26" s="11" t="s">
        <v>225</v>
      </c>
      <c r="B26" s="11" t="s">
        <v>174</v>
      </c>
      <c r="C26" s="21">
        <v>150771</v>
      </c>
      <c r="D26" s="21">
        <v>1714093</v>
      </c>
      <c r="E26" s="12">
        <f t="shared" si="0"/>
        <v>8.79596381293197E-2</v>
      </c>
      <c r="F26" s="12" t="s">
        <v>18</v>
      </c>
      <c r="G26" s="11" t="s">
        <v>226</v>
      </c>
      <c r="H26" s="21">
        <v>0</v>
      </c>
      <c r="I26" s="12">
        <f t="shared" si="9"/>
        <v>8.79596381293197E-2</v>
      </c>
      <c r="J26" s="21">
        <v>0</v>
      </c>
      <c r="K26" s="12">
        <f t="shared" si="2"/>
        <v>8.79596381293197E-2</v>
      </c>
      <c r="L26" s="20">
        <v>27</v>
      </c>
      <c r="M26" s="21">
        <f t="shared" si="3"/>
        <v>63484.925925925927</v>
      </c>
      <c r="N26" s="21">
        <f t="shared" si="4"/>
        <v>1714093</v>
      </c>
      <c r="O26" s="21">
        <f t="shared" si="5"/>
        <v>150771</v>
      </c>
    </row>
    <row r="27" spans="1:15" x14ac:dyDescent="0.35">
      <c r="A27" s="11" t="s">
        <v>227</v>
      </c>
      <c r="B27" s="11" t="s">
        <v>228</v>
      </c>
      <c r="C27" s="21">
        <v>125866</v>
      </c>
      <c r="D27" s="21">
        <v>1016320</v>
      </c>
      <c r="E27" s="12">
        <f t="shared" si="0"/>
        <v>0.12384485201511335</v>
      </c>
      <c r="F27" s="12" t="s">
        <v>18</v>
      </c>
      <c r="G27" s="11" t="s">
        <v>175</v>
      </c>
      <c r="H27" s="21">
        <v>47227</v>
      </c>
      <c r="I27" s="12">
        <f t="shared" si="9"/>
        <v>0.1703134839420655</v>
      </c>
      <c r="J27" s="21">
        <v>0</v>
      </c>
      <c r="K27" s="12">
        <f t="shared" si="2"/>
        <v>0.1703134839420655</v>
      </c>
      <c r="L27" s="20">
        <v>120</v>
      </c>
      <c r="M27" s="21">
        <f t="shared" si="3"/>
        <v>8469.3333333333339</v>
      </c>
      <c r="N27" s="21">
        <f t="shared" si="4"/>
        <v>1016320</v>
      </c>
      <c r="O27" s="21">
        <f t="shared" si="5"/>
        <v>125866</v>
      </c>
    </row>
    <row r="28" spans="1:15" x14ac:dyDescent="0.35">
      <c r="A28" s="11" t="s">
        <v>229</v>
      </c>
      <c r="B28" s="11" t="s">
        <v>174</v>
      </c>
      <c r="C28" s="21">
        <v>155091</v>
      </c>
      <c r="D28" s="21">
        <v>5467188</v>
      </c>
      <c r="E28" s="12">
        <f t="shared" si="0"/>
        <v>2.8367599577698809E-2</v>
      </c>
      <c r="F28" s="12"/>
      <c r="G28" s="11" t="s">
        <v>230</v>
      </c>
      <c r="H28" s="21">
        <v>26815</v>
      </c>
      <c r="I28" s="12">
        <f t="shared" si="9"/>
        <v>3.3272314762177561E-2</v>
      </c>
      <c r="J28" s="21">
        <v>325036</v>
      </c>
      <c r="K28" s="12">
        <f t="shared" si="2"/>
        <v>8.752113177943395E-2</v>
      </c>
      <c r="L28" s="20">
        <v>570</v>
      </c>
      <c r="M28" s="21">
        <f t="shared" si="3"/>
        <v>10161.796491228069</v>
      </c>
      <c r="N28" s="21">
        <f t="shared" si="4"/>
        <v>5792224</v>
      </c>
      <c r="O28" s="21">
        <f t="shared" si="5"/>
        <v>480127</v>
      </c>
    </row>
    <row r="29" spans="1:15" x14ac:dyDescent="0.35">
      <c r="A29" s="11" t="s">
        <v>231</v>
      </c>
      <c r="B29" s="11" t="s">
        <v>174</v>
      </c>
      <c r="C29" s="21">
        <v>1000609</v>
      </c>
      <c r="D29" s="21">
        <v>7035870</v>
      </c>
      <c r="E29" s="12">
        <f t="shared" si="0"/>
        <v>0.14221539056292967</v>
      </c>
      <c r="F29" s="12" t="s">
        <v>18</v>
      </c>
      <c r="G29" s="11" t="s">
        <v>175</v>
      </c>
      <c r="H29" s="21">
        <v>0</v>
      </c>
      <c r="I29" s="12">
        <f t="shared" si="9"/>
        <v>0.14221539056292967</v>
      </c>
      <c r="J29" s="21">
        <v>0</v>
      </c>
      <c r="K29" s="12">
        <f t="shared" si="2"/>
        <v>0.14221539056292967</v>
      </c>
      <c r="L29" s="20">
        <v>690</v>
      </c>
      <c r="M29" s="21">
        <f t="shared" si="3"/>
        <v>10196.91304347826</v>
      </c>
      <c r="N29" s="21">
        <f t="shared" si="4"/>
        <v>7035870</v>
      </c>
      <c r="O29" s="21">
        <f t="shared" si="5"/>
        <v>1000609</v>
      </c>
    </row>
    <row r="30" spans="1:15" x14ac:dyDescent="0.35">
      <c r="A30" s="11" t="s">
        <v>232</v>
      </c>
      <c r="B30" s="11" t="s">
        <v>223</v>
      </c>
      <c r="C30" s="21"/>
      <c r="D30" s="21"/>
      <c r="E30" s="12"/>
      <c r="F30" s="12" t="s">
        <v>223</v>
      </c>
      <c r="G30" s="11"/>
      <c r="H30" s="21"/>
      <c r="I30" s="12"/>
      <c r="J30" s="21"/>
      <c r="K30" s="12"/>
      <c r="L30" s="20"/>
      <c r="M30" s="21"/>
      <c r="N30" s="21"/>
      <c r="O30" s="21"/>
    </row>
    <row r="31" spans="1:15" x14ac:dyDescent="0.35">
      <c r="A31" s="11" t="s">
        <v>233</v>
      </c>
      <c r="B31" s="11" t="s">
        <v>174</v>
      </c>
      <c r="C31" s="21">
        <v>134322</v>
      </c>
      <c r="D31" s="21">
        <v>1741090</v>
      </c>
      <c r="E31" s="12">
        <f t="shared" ref="E31:E54" si="12">C31/D31</f>
        <v>7.7148223239464936E-2</v>
      </c>
      <c r="F31" s="12" t="s">
        <v>178</v>
      </c>
      <c r="G31" s="11" t="s">
        <v>206</v>
      </c>
      <c r="H31" s="21">
        <v>0</v>
      </c>
      <c r="I31" s="12">
        <f t="shared" ref="I31:I51" si="13">(C31+H31)/D31</f>
        <v>7.7148223239464936E-2</v>
      </c>
      <c r="J31" s="21"/>
      <c r="K31" s="12"/>
      <c r="L31" s="20"/>
      <c r="M31" s="21"/>
      <c r="N31" s="21"/>
      <c r="O31" s="21"/>
    </row>
    <row r="32" spans="1:15" x14ac:dyDescent="0.35">
      <c r="A32" s="11" t="s">
        <v>234</v>
      </c>
      <c r="B32" s="11" t="s">
        <v>174</v>
      </c>
      <c r="C32" s="21">
        <v>842571</v>
      </c>
      <c r="D32" s="21">
        <v>4079756</v>
      </c>
      <c r="E32" s="12">
        <f t="shared" si="12"/>
        <v>0.20652485099599094</v>
      </c>
      <c r="F32" s="12" t="s">
        <v>18</v>
      </c>
      <c r="G32" s="11" t="s">
        <v>235</v>
      </c>
      <c r="H32" s="21">
        <v>0</v>
      </c>
      <c r="I32" s="12">
        <f t="shared" si="13"/>
        <v>0.20652485099599094</v>
      </c>
      <c r="J32" s="21">
        <v>0</v>
      </c>
      <c r="K32" s="12">
        <f t="shared" si="2"/>
        <v>0.20652485099599094</v>
      </c>
      <c r="L32" s="20">
        <v>246</v>
      </c>
      <c r="M32" s="21">
        <f t="shared" si="3"/>
        <v>16584.373983739839</v>
      </c>
      <c r="N32" s="21">
        <f t="shared" si="4"/>
        <v>4079756</v>
      </c>
      <c r="O32" s="21">
        <f t="shared" si="5"/>
        <v>842571</v>
      </c>
    </row>
    <row r="33" spans="1:15" x14ac:dyDescent="0.35">
      <c r="A33" s="11" t="s">
        <v>236</v>
      </c>
      <c r="B33" s="11" t="s">
        <v>237</v>
      </c>
      <c r="C33" s="21">
        <v>143396</v>
      </c>
      <c r="D33" s="21">
        <v>1885251</v>
      </c>
      <c r="E33" s="12">
        <f t="shared" si="12"/>
        <v>7.606202038879703E-2</v>
      </c>
      <c r="F33" s="12" t="s">
        <v>18</v>
      </c>
      <c r="G33" s="11" t="s">
        <v>175</v>
      </c>
      <c r="H33" s="21">
        <v>145</v>
      </c>
      <c r="I33" s="12">
        <f t="shared" si="13"/>
        <v>7.6138933224276242E-2</v>
      </c>
      <c r="J33" s="21">
        <v>1123</v>
      </c>
      <c r="K33" s="12">
        <f t="shared" si="2"/>
        <v>7.6688928070467469E-2</v>
      </c>
      <c r="L33" s="20">
        <v>175</v>
      </c>
      <c r="M33" s="21">
        <f t="shared" si="3"/>
        <v>10779.28</v>
      </c>
      <c r="N33" s="21">
        <f t="shared" si="4"/>
        <v>1886374</v>
      </c>
      <c r="O33" s="21">
        <f t="shared" si="5"/>
        <v>144519</v>
      </c>
    </row>
    <row r="34" spans="1:15" x14ac:dyDescent="0.35">
      <c r="A34" s="11" t="s">
        <v>155</v>
      </c>
      <c r="B34" s="11" t="s">
        <v>174</v>
      </c>
      <c r="C34" s="21">
        <v>931322</v>
      </c>
      <c r="D34" s="21">
        <v>9679037</v>
      </c>
      <c r="E34" s="12">
        <f t="shared" si="12"/>
        <v>9.622052276481638E-2</v>
      </c>
      <c r="F34" s="12" t="s">
        <v>193</v>
      </c>
      <c r="G34" s="11" t="s">
        <v>238</v>
      </c>
      <c r="H34" s="21">
        <v>597748</v>
      </c>
      <c r="I34" s="12">
        <f t="shared" si="13"/>
        <v>0.15797749300886027</v>
      </c>
      <c r="J34" s="21">
        <v>153108</v>
      </c>
      <c r="K34" s="12">
        <f t="shared" si="2"/>
        <v>0.17108962489873777</v>
      </c>
      <c r="L34" s="20">
        <v>980</v>
      </c>
      <c r="M34" s="21">
        <f t="shared" si="3"/>
        <v>10032.801020408164</v>
      </c>
      <c r="N34" s="21">
        <f t="shared" si="4"/>
        <v>9832145</v>
      </c>
      <c r="O34" s="21">
        <f t="shared" si="5"/>
        <v>1084430</v>
      </c>
    </row>
    <row r="35" spans="1:15" x14ac:dyDescent="0.35">
      <c r="A35" s="11" t="s">
        <v>239</v>
      </c>
      <c r="B35" s="11" t="s">
        <v>240</v>
      </c>
      <c r="C35" s="21">
        <v>0</v>
      </c>
      <c r="D35" s="21">
        <v>1894671</v>
      </c>
      <c r="E35" s="12">
        <f t="shared" si="12"/>
        <v>0</v>
      </c>
      <c r="F35" s="12" t="s">
        <v>241</v>
      </c>
      <c r="G35" s="11" t="s">
        <v>242</v>
      </c>
      <c r="H35" s="21">
        <v>0</v>
      </c>
      <c r="I35" s="12">
        <f t="shared" si="13"/>
        <v>0</v>
      </c>
      <c r="J35" s="21">
        <v>0</v>
      </c>
      <c r="K35" s="12">
        <f t="shared" si="2"/>
        <v>0</v>
      </c>
      <c r="L35" s="20"/>
      <c r="M35" s="21"/>
      <c r="N35" s="21"/>
      <c r="O35" s="21"/>
    </row>
    <row r="36" spans="1:15" x14ac:dyDescent="0.35">
      <c r="A36" s="11" t="s">
        <v>243</v>
      </c>
      <c r="B36" s="11" t="s">
        <v>174</v>
      </c>
      <c r="C36" s="21">
        <v>1594812</v>
      </c>
      <c r="D36" s="21">
        <v>11104196</v>
      </c>
      <c r="E36" s="12">
        <f t="shared" si="12"/>
        <v>0.14362246487724101</v>
      </c>
      <c r="F36" s="12" t="s">
        <v>193</v>
      </c>
      <c r="G36" s="11" t="s">
        <v>244</v>
      </c>
      <c r="H36" s="21">
        <v>2681</v>
      </c>
      <c r="I36" s="12">
        <f t="shared" si="13"/>
        <v>0.14386390514000294</v>
      </c>
      <c r="J36" s="21">
        <v>32500</v>
      </c>
      <c r="K36" s="12">
        <f t="shared" si="2"/>
        <v>0.14636235019794022</v>
      </c>
      <c r="L36" s="20">
        <f>295+508</f>
        <v>803</v>
      </c>
      <c r="M36" s="21">
        <f t="shared" si="3"/>
        <v>13868.861768368617</v>
      </c>
      <c r="N36" s="21">
        <f t="shared" si="4"/>
        <v>11136696</v>
      </c>
      <c r="O36" s="21">
        <f t="shared" si="5"/>
        <v>1627312</v>
      </c>
    </row>
    <row r="37" spans="1:15" x14ac:dyDescent="0.35">
      <c r="A37" s="11" t="s">
        <v>245</v>
      </c>
      <c r="B37" s="11" t="s">
        <v>174</v>
      </c>
      <c r="C37" s="21">
        <v>25034</v>
      </c>
      <c r="D37" s="21">
        <v>7353141</v>
      </c>
      <c r="E37" s="12">
        <f t="shared" ref="E37" si="14">C37/D37</f>
        <v>3.4045314784525416E-3</v>
      </c>
      <c r="F37" s="11"/>
      <c r="G37" s="11" t="s">
        <v>246</v>
      </c>
      <c r="H37" s="21">
        <v>0</v>
      </c>
      <c r="I37" s="12">
        <f t="shared" ref="I37" si="15">(C37+H37)/D37</f>
        <v>3.4045314784525416E-3</v>
      </c>
      <c r="J37" s="21">
        <v>0</v>
      </c>
      <c r="K37" s="12">
        <f t="shared" si="2"/>
        <v>3.4045314784525416E-3</v>
      </c>
      <c r="L37" s="20">
        <v>560</v>
      </c>
      <c r="M37" s="21">
        <f t="shared" si="3"/>
        <v>13130.608928571428</v>
      </c>
      <c r="N37" s="21">
        <f t="shared" si="4"/>
        <v>7353141</v>
      </c>
      <c r="O37" s="21">
        <f t="shared" si="5"/>
        <v>25034</v>
      </c>
    </row>
    <row r="38" spans="1:15" x14ac:dyDescent="0.35">
      <c r="A38" s="11" t="s">
        <v>247</v>
      </c>
      <c r="B38" s="11" t="s">
        <v>248</v>
      </c>
      <c r="C38" s="21">
        <v>65558</v>
      </c>
      <c r="D38" s="21">
        <v>2133112</v>
      </c>
      <c r="E38" s="12">
        <f t="shared" si="12"/>
        <v>3.0733501100739202E-2</v>
      </c>
      <c r="F38" s="11"/>
      <c r="G38" s="11" t="s">
        <v>249</v>
      </c>
      <c r="H38" s="21">
        <v>18516</v>
      </c>
      <c r="I38" s="12">
        <f t="shared" si="13"/>
        <v>3.9413776679330478E-2</v>
      </c>
      <c r="J38" s="21">
        <v>67068</v>
      </c>
      <c r="K38" s="12">
        <f t="shared" si="2"/>
        <v>6.8695288567299034E-2</v>
      </c>
      <c r="L38" s="20">
        <v>220</v>
      </c>
      <c r="M38" s="21">
        <f t="shared" si="3"/>
        <v>10000.818181818182</v>
      </c>
      <c r="N38" s="21">
        <f t="shared" si="4"/>
        <v>2200180</v>
      </c>
      <c r="O38" s="21">
        <f t="shared" si="5"/>
        <v>132626</v>
      </c>
    </row>
    <row r="39" spans="1:15" x14ac:dyDescent="0.35">
      <c r="A39" s="11" t="s">
        <v>152</v>
      </c>
      <c r="B39" s="11" t="s">
        <v>228</v>
      </c>
      <c r="C39" s="21">
        <v>453101</v>
      </c>
      <c r="D39" s="21">
        <v>2616486</v>
      </c>
      <c r="E39" s="12">
        <f t="shared" si="12"/>
        <v>0.1731715743940537</v>
      </c>
      <c r="F39" s="11" t="s">
        <v>18</v>
      </c>
      <c r="G39" s="11" t="s">
        <v>250</v>
      </c>
      <c r="H39" s="21">
        <v>15814</v>
      </c>
      <c r="I39" s="12">
        <f t="shared" si="13"/>
        <v>0.17921555857742025</v>
      </c>
      <c r="J39" s="21">
        <f>218137+92508</f>
        <v>310645</v>
      </c>
      <c r="K39" s="12">
        <f t="shared" si="2"/>
        <v>0.26632221106605752</v>
      </c>
      <c r="L39" s="20">
        <v>375</v>
      </c>
      <c r="M39" s="21">
        <f t="shared" si="3"/>
        <v>7805.6826666666666</v>
      </c>
      <c r="N39" s="21">
        <f t="shared" si="4"/>
        <v>2927131</v>
      </c>
      <c r="O39" s="21">
        <f t="shared" si="5"/>
        <v>763746</v>
      </c>
    </row>
    <row r="40" spans="1:15" x14ac:dyDescent="0.35">
      <c r="A40" s="11" t="s">
        <v>251</v>
      </c>
      <c r="B40" s="11" t="s">
        <v>228</v>
      </c>
      <c r="C40" s="21">
        <v>243948</v>
      </c>
      <c r="D40" s="21">
        <v>1765144</v>
      </c>
      <c r="E40" s="12">
        <f t="shared" si="12"/>
        <v>0.1382028888294666</v>
      </c>
      <c r="F40" s="11" t="s">
        <v>18</v>
      </c>
      <c r="G40" s="11" t="s">
        <v>175</v>
      </c>
      <c r="H40" s="21">
        <v>7750</v>
      </c>
      <c r="I40" s="12">
        <f t="shared" si="13"/>
        <v>0.14259346546230789</v>
      </c>
      <c r="J40" s="21">
        <v>100000</v>
      </c>
      <c r="K40" s="12">
        <f t="shared" si="2"/>
        <v>0.18856345676258776</v>
      </c>
      <c r="L40" s="20">
        <v>200</v>
      </c>
      <c r="M40" s="21">
        <f t="shared" si="3"/>
        <v>9325.7199999999993</v>
      </c>
      <c r="N40" s="21">
        <f t="shared" si="4"/>
        <v>1865144</v>
      </c>
      <c r="O40" s="21">
        <f t="shared" si="5"/>
        <v>343948</v>
      </c>
    </row>
    <row r="41" spans="1:15" x14ac:dyDescent="0.35">
      <c r="A41" s="11" t="s">
        <v>252</v>
      </c>
      <c r="B41" s="11" t="s">
        <v>228</v>
      </c>
      <c r="C41" s="21">
        <v>105036</v>
      </c>
      <c r="D41" s="21">
        <v>3012863</v>
      </c>
      <c r="E41" s="12">
        <f t="shared" si="12"/>
        <v>3.4862521130233935E-2</v>
      </c>
      <c r="F41" s="11" t="s">
        <v>193</v>
      </c>
      <c r="G41" s="11" t="s">
        <v>253</v>
      </c>
      <c r="H41" s="21">
        <v>15563</v>
      </c>
      <c r="I41" s="12">
        <f t="shared" si="13"/>
        <v>4.002803977479228E-2</v>
      </c>
      <c r="J41" s="21">
        <v>200800</v>
      </c>
      <c r="K41" s="12">
        <f t="shared" si="2"/>
        <v>0.10001017530462902</v>
      </c>
      <c r="L41" s="20">
        <v>295</v>
      </c>
      <c r="M41" s="21">
        <f t="shared" si="3"/>
        <v>10893.772881355932</v>
      </c>
      <c r="N41" s="21">
        <f t="shared" si="4"/>
        <v>3213663</v>
      </c>
      <c r="O41" s="21">
        <f t="shared" si="5"/>
        <v>305836</v>
      </c>
    </row>
    <row r="42" spans="1:15" x14ac:dyDescent="0.35">
      <c r="A42" s="11" t="s">
        <v>254</v>
      </c>
      <c r="B42" s="11" t="s">
        <v>255</v>
      </c>
      <c r="C42" s="21">
        <v>35543</v>
      </c>
      <c r="D42" s="21">
        <v>703013</v>
      </c>
      <c r="E42" s="12">
        <f t="shared" si="12"/>
        <v>5.0558097787665381E-2</v>
      </c>
      <c r="F42" s="11"/>
      <c r="G42" s="11" t="s">
        <v>256</v>
      </c>
      <c r="H42" s="21">
        <v>810</v>
      </c>
      <c r="I42" s="12">
        <f t="shared" si="13"/>
        <v>5.1710281317699676E-2</v>
      </c>
      <c r="J42" s="21">
        <v>12660</v>
      </c>
      <c r="K42" s="12">
        <f t="shared" si="2"/>
        <v>6.8485188067734848E-2</v>
      </c>
      <c r="L42" s="20">
        <v>90</v>
      </c>
      <c r="M42" s="21">
        <f t="shared" si="3"/>
        <v>7951.9222222222224</v>
      </c>
      <c r="N42" s="21">
        <f t="shared" si="4"/>
        <v>715673</v>
      </c>
      <c r="O42" s="21">
        <f t="shared" si="5"/>
        <v>48203</v>
      </c>
    </row>
    <row r="43" spans="1:15" x14ac:dyDescent="0.35">
      <c r="A43" s="11" t="s">
        <v>257</v>
      </c>
      <c r="B43" s="11" t="s">
        <v>174</v>
      </c>
      <c r="C43" s="21">
        <f>61703+256356</f>
        <v>318059</v>
      </c>
      <c r="D43" s="21">
        <v>1950700</v>
      </c>
      <c r="E43" s="12">
        <f t="shared" si="12"/>
        <v>0.16304864920285025</v>
      </c>
      <c r="F43" s="12" t="s">
        <v>18</v>
      </c>
      <c r="G43" s="11" t="s">
        <v>258</v>
      </c>
      <c r="H43" s="21">
        <v>165748</v>
      </c>
      <c r="I43" s="12">
        <f t="shared" si="13"/>
        <v>0.24801712205874815</v>
      </c>
      <c r="J43" s="21">
        <v>90383</v>
      </c>
      <c r="K43" s="12">
        <f t="shared" si="2"/>
        <v>0.28131634039380077</v>
      </c>
      <c r="L43" s="20">
        <v>85</v>
      </c>
      <c r="M43" s="21">
        <f t="shared" si="3"/>
        <v>24012.741176470587</v>
      </c>
      <c r="N43" s="21">
        <f t="shared" si="4"/>
        <v>2041083</v>
      </c>
      <c r="O43" s="21">
        <f t="shared" si="5"/>
        <v>408442</v>
      </c>
    </row>
    <row r="44" spans="1:15" x14ac:dyDescent="0.35">
      <c r="A44" s="11" t="s">
        <v>259</v>
      </c>
      <c r="B44" s="11" t="s">
        <v>174</v>
      </c>
      <c r="C44" s="21">
        <v>575678</v>
      </c>
      <c r="D44" s="21">
        <v>4869794</v>
      </c>
      <c r="E44" s="12">
        <f t="shared" si="12"/>
        <v>0.11821403533701837</v>
      </c>
      <c r="F44" s="12" t="s">
        <v>18</v>
      </c>
      <c r="G44" s="11" t="s">
        <v>260</v>
      </c>
      <c r="H44" s="21">
        <v>0</v>
      </c>
      <c r="I44" s="12">
        <f t="shared" si="13"/>
        <v>0.11821403533701837</v>
      </c>
      <c r="J44" s="21">
        <v>0</v>
      </c>
      <c r="K44" s="12">
        <f t="shared" si="2"/>
        <v>0.11821403533701837</v>
      </c>
      <c r="L44" s="20"/>
      <c r="M44" s="21"/>
      <c r="N44" s="21"/>
      <c r="O44" s="21"/>
    </row>
    <row r="45" spans="1:15" x14ac:dyDescent="0.35">
      <c r="A45" s="11" t="s">
        <v>261</v>
      </c>
      <c r="B45" s="11" t="s">
        <v>262</v>
      </c>
      <c r="C45" s="21">
        <v>148601</v>
      </c>
      <c r="D45" s="21">
        <v>2061571</v>
      </c>
      <c r="E45" s="12">
        <f t="shared" ref="E45" si="16">C45/D45</f>
        <v>7.2081436923588857E-2</v>
      </c>
      <c r="F45" s="12" t="s">
        <v>189</v>
      </c>
      <c r="G45" s="11" t="s">
        <v>263</v>
      </c>
      <c r="H45" s="21">
        <v>25715</v>
      </c>
      <c r="I45" s="12">
        <f t="shared" ref="I45" si="17">(C45+H45)/D45</f>
        <v>8.4554934076973343E-2</v>
      </c>
      <c r="J45" s="21">
        <v>71577</v>
      </c>
      <c r="K45" s="12">
        <f t="shared" ref="K45" si="18">(C45+H45+J45)/(D45+J45)</f>
        <v>0.11527235803610439</v>
      </c>
      <c r="L45" s="20">
        <v>245</v>
      </c>
      <c r="M45" s="21">
        <f t="shared" si="3"/>
        <v>8706.7265306122445</v>
      </c>
      <c r="N45" s="21">
        <f t="shared" si="4"/>
        <v>2133148</v>
      </c>
      <c r="O45" s="21">
        <f t="shared" si="5"/>
        <v>220178</v>
      </c>
    </row>
    <row r="46" spans="1:15" x14ac:dyDescent="0.35">
      <c r="A46" s="11" t="s">
        <v>264</v>
      </c>
      <c r="B46" s="11" t="s">
        <v>265</v>
      </c>
      <c r="C46" s="21">
        <v>347897</v>
      </c>
      <c r="D46" s="21">
        <v>4227086</v>
      </c>
      <c r="E46" s="12">
        <f t="shared" si="12"/>
        <v>8.230185049464335E-2</v>
      </c>
      <c r="F46" s="12" t="s">
        <v>189</v>
      </c>
      <c r="G46" s="11" t="s">
        <v>266</v>
      </c>
      <c r="H46" s="21">
        <v>168</v>
      </c>
      <c r="I46" s="12">
        <f t="shared" si="13"/>
        <v>8.2341594185687261E-2</v>
      </c>
      <c r="J46" s="21">
        <v>459045</v>
      </c>
      <c r="K46" s="12">
        <f t="shared" si="2"/>
        <v>0.17223376811275656</v>
      </c>
      <c r="L46" s="20">
        <v>510</v>
      </c>
      <c r="M46" s="21">
        <f t="shared" si="3"/>
        <v>9188.4921568627451</v>
      </c>
      <c r="N46" s="21">
        <f t="shared" si="4"/>
        <v>4686131</v>
      </c>
      <c r="O46" s="21">
        <f t="shared" si="5"/>
        <v>806942</v>
      </c>
    </row>
    <row r="47" spans="1:15" x14ac:dyDescent="0.35">
      <c r="A47" s="11" t="s">
        <v>267</v>
      </c>
      <c r="B47" s="11" t="s">
        <v>208</v>
      </c>
      <c r="C47" s="21">
        <v>118543</v>
      </c>
      <c r="D47" s="21">
        <v>1590486</v>
      </c>
      <c r="E47" s="12">
        <f t="shared" si="12"/>
        <v>7.4532564260232401E-2</v>
      </c>
      <c r="F47" s="12" t="s">
        <v>18</v>
      </c>
      <c r="G47" s="11" t="s">
        <v>268</v>
      </c>
      <c r="H47" s="21">
        <v>0</v>
      </c>
      <c r="I47" s="12">
        <f t="shared" si="13"/>
        <v>7.4532564260232401E-2</v>
      </c>
      <c r="J47" s="21">
        <v>0</v>
      </c>
      <c r="K47" s="12">
        <f t="shared" si="2"/>
        <v>7.4532564260232401E-2</v>
      </c>
      <c r="L47" s="20">
        <v>130</v>
      </c>
      <c r="M47" s="21">
        <f t="shared" si="3"/>
        <v>12234.507692307692</v>
      </c>
      <c r="N47" s="21">
        <f t="shared" si="4"/>
        <v>1590486</v>
      </c>
      <c r="O47" s="21">
        <f t="shared" si="5"/>
        <v>118543</v>
      </c>
    </row>
    <row r="48" spans="1:15" x14ac:dyDescent="0.35">
      <c r="A48" s="11" t="s">
        <v>269</v>
      </c>
      <c r="B48" s="11" t="s">
        <v>174</v>
      </c>
      <c r="C48" s="21">
        <v>209558</v>
      </c>
      <c r="D48" s="21">
        <v>5849079</v>
      </c>
      <c r="E48" s="12">
        <f t="shared" si="12"/>
        <v>3.5827520879782956E-2</v>
      </c>
      <c r="F48" s="12"/>
      <c r="G48" s="11" t="s">
        <v>182</v>
      </c>
      <c r="H48" s="21">
        <v>119777</v>
      </c>
      <c r="I48" s="12">
        <f t="shared" si="13"/>
        <v>5.6305445694954707E-2</v>
      </c>
      <c r="J48" s="21">
        <v>491161</v>
      </c>
      <c r="K48" s="12">
        <f t="shared" si="2"/>
        <v>0.12941087403631407</v>
      </c>
      <c r="L48" s="20">
        <v>590</v>
      </c>
      <c r="M48" s="21">
        <f t="shared" si="3"/>
        <v>10746.169491525423</v>
      </c>
      <c r="N48" s="21">
        <f t="shared" si="4"/>
        <v>6340240</v>
      </c>
      <c r="O48" s="21">
        <f t="shared" si="5"/>
        <v>700719</v>
      </c>
    </row>
    <row r="49" spans="1:17" x14ac:dyDescent="0.35">
      <c r="A49" s="11" t="s">
        <v>270</v>
      </c>
      <c r="B49" s="11" t="s">
        <v>188</v>
      </c>
      <c r="C49" s="21">
        <v>140468</v>
      </c>
      <c r="D49" s="21">
        <v>2631885</v>
      </c>
      <c r="E49" s="12">
        <f t="shared" si="12"/>
        <v>5.3371632879096159E-2</v>
      </c>
      <c r="F49" s="12"/>
      <c r="G49" s="11" t="s">
        <v>271</v>
      </c>
      <c r="H49" s="21">
        <v>67107</v>
      </c>
      <c r="I49" s="12">
        <f t="shared" si="13"/>
        <v>7.886932749721208E-2</v>
      </c>
      <c r="J49" s="21">
        <v>259283</v>
      </c>
      <c r="K49" s="12">
        <f t="shared" si="2"/>
        <v>0.16147729914000156</v>
      </c>
      <c r="L49" s="20">
        <v>310</v>
      </c>
      <c r="M49" s="21">
        <f t="shared" si="3"/>
        <v>9326.3483870967739</v>
      </c>
      <c r="N49" s="21">
        <f t="shared" si="4"/>
        <v>2891168</v>
      </c>
      <c r="O49" s="21">
        <f t="shared" si="5"/>
        <v>399751</v>
      </c>
    </row>
    <row r="50" spans="1:17" x14ac:dyDescent="0.35">
      <c r="A50" s="11" t="s">
        <v>272</v>
      </c>
      <c r="B50" s="11" t="s">
        <v>240</v>
      </c>
      <c r="C50" s="21">
        <v>239305</v>
      </c>
      <c r="D50" s="21">
        <v>4629569</v>
      </c>
      <c r="E50" s="12">
        <f t="shared" si="12"/>
        <v>5.1690556939533679E-2</v>
      </c>
      <c r="F50" s="12" t="s">
        <v>18</v>
      </c>
      <c r="G50" s="11" t="s">
        <v>273</v>
      </c>
      <c r="H50" s="21">
        <v>13875</v>
      </c>
      <c r="I50" s="12">
        <f t="shared" si="13"/>
        <v>5.4687596188759686E-2</v>
      </c>
      <c r="J50" s="21">
        <v>0</v>
      </c>
      <c r="K50" s="12">
        <f t="shared" si="2"/>
        <v>5.4687596188759686E-2</v>
      </c>
      <c r="L50" s="20">
        <v>392</v>
      </c>
      <c r="M50" s="21">
        <f t="shared" si="3"/>
        <v>11810.125</v>
      </c>
      <c r="N50" s="21">
        <f t="shared" si="4"/>
        <v>4629569</v>
      </c>
      <c r="O50" s="21">
        <f t="shared" si="5"/>
        <v>239305</v>
      </c>
    </row>
    <row r="51" spans="1:17" x14ac:dyDescent="0.35">
      <c r="A51" s="11" t="s">
        <v>274</v>
      </c>
      <c r="B51" s="11" t="s">
        <v>275</v>
      </c>
      <c r="C51" s="21">
        <v>70036</v>
      </c>
      <c r="D51" s="21">
        <v>797989</v>
      </c>
      <c r="E51" s="12">
        <f t="shared" si="12"/>
        <v>8.7765620829359806E-2</v>
      </c>
      <c r="F51" s="12" t="s">
        <v>18</v>
      </c>
      <c r="G51" s="11" t="s">
        <v>175</v>
      </c>
      <c r="H51" s="21">
        <v>0</v>
      </c>
      <c r="I51" s="12">
        <f t="shared" si="13"/>
        <v>8.7765620829359806E-2</v>
      </c>
      <c r="J51" s="21">
        <v>0</v>
      </c>
      <c r="K51" s="12">
        <f t="shared" si="2"/>
        <v>8.7765620829359806E-2</v>
      </c>
      <c r="L51" s="20">
        <v>87</v>
      </c>
      <c r="M51" s="21">
        <f t="shared" si="3"/>
        <v>9172.28735632184</v>
      </c>
      <c r="N51" s="21">
        <f t="shared" si="4"/>
        <v>797989</v>
      </c>
      <c r="O51" s="21">
        <f t="shared" si="5"/>
        <v>70036</v>
      </c>
    </row>
    <row r="52" spans="1:17" x14ac:dyDescent="0.35">
      <c r="A52" s="11" t="s">
        <v>276</v>
      </c>
      <c r="B52" s="11" t="s">
        <v>184</v>
      </c>
      <c r="C52" s="21">
        <v>860447</v>
      </c>
      <c r="D52" s="21">
        <v>12365841</v>
      </c>
      <c r="E52" s="12">
        <f t="shared" ref="E52" si="19">C52/D52</f>
        <v>6.9582570243301695E-2</v>
      </c>
      <c r="F52" s="12"/>
      <c r="G52" s="11" t="s">
        <v>277</v>
      </c>
      <c r="H52" s="21">
        <v>152237</v>
      </c>
      <c r="I52" s="12">
        <f>(C52+H52)/D52</f>
        <v>8.1893661741243476E-2</v>
      </c>
      <c r="J52" s="21">
        <v>330000</v>
      </c>
      <c r="K52" s="12">
        <f t="shared" ref="K52" si="20">(C52+H52+J52)/(D52+J52)</f>
        <v>0.10575778319845058</v>
      </c>
      <c r="L52" s="20">
        <v>1070</v>
      </c>
      <c r="M52" s="21">
        <f t="shared" si="3"/>
        <v>11865.271962616822</v>
      </c>
      <c r="N52" s="21">
        <f t="shared" si="4"/>
        <v>12695841</v>
      </c>
      <c r="O52" s="21">
        <f t="shared" si="5"/>
        <v>1190447</v>
      </c>
    </row>
    <row r="53" spans="1:17" x14ac:dyDescent="0.35">
      <c r="A53" s="11" t="s">
        <v>278</v>
      </c>
      <c r="B53" s="11" t="s">
        <v>174</v>
      </c>
      <c r="C53" s="21">
        <v>2606132</v>
      </c>
      <c r="D53" s="21">
        <v>15316743</v>
      </c>
      <c r="E53" s="12">
        <f t="shared" si="12"/>
        <v>0.17014922820079961</v>
      </c>
      <c r="F53" s="12" t="s">
        <v>279</v>
      </c>
      <c r="G53" s="11" t="s">
        <v>280</v>
      </c>
      <c r="H53" s="21">
        <v>236494</v>
      </c>
      <c r="I53" s="12">
        <f>(C53+H53)/D53</f>
        <v>0.18558945593067663</v>
      </c>
      <c r="J53" s="21">
        <f>163190+363457</f>
        <v>526647</v>
      </c>
      <c r="K53" s="12">
        <f t="shared" si="2"/>
        <v>0.21266111608689806</v>
      </c>
      <c r="L53" s="20">
        <f>216+259+235+281+410</f>
        <v>1401</v>
      </c>
      <c r="M53" s="21">
        <f t="shared" si="3"/>
        <v>11308.629550321199</v>
      </c>
      <c r="N53" s="21">
        <f t="shared" si="4"/>
        <v>15843390</v>
      </c>
      <c r="O53" s="21">
        <f t="shared" si="5"/>
        <v>3132779</v>
      </c>
    </row>
    <row r="54" spans="1:17" x14ac:dyDescent="0.35">
      <c r="A54" s="11" t="s">
        <v>281</v>
      </c>
      <c r="B54" s="11" t="s">
        <v>174</v>
      </c>
      <c r="C54" s="21">
        <v>822845</v>
      </c>
      <c r="D54" s="21">
        <v>4989733</v>
      </c>
      <c r="E54" s="12">
        <f t="shared" si="12"/>
        <v>0.16490762130959713</v>
      </c>
      <c r="F54" s="12"/>
      <c r="G54" s="11" t="s">
        <v>282</v>
      </c>
      <c r="H54" s="21">
        <v>0</v>
      </c>
      <c r="I54" s="12">
        <f>(C54+H54)/D54</f>
        <v>0.16490762130959713</v>
      </c>
      <c r="J54" s="21">
        <v>300000</v>
      </c>
      <c r="K54" s="12">
        <f t="shared" si="2"/>
        <v>0.2122687477798974</v>
      </c>
      <c r="L54" s="20">
        <v>350</v>
      </c>
      <c r="M54" s="21">
        <f t="shared" si="3"/>
        <v>15113.522857142858</v>
      </c>
      <c r="N54" s="21">
        <f t="shared" si="4"/>
        <v>5289733</v>
      </c>
      <c r="O54" s="21">
        <f t="shared" si="5"/>
        <v>1122845</v>
      </c>
    </row>
    <row r="55" spans="1:17" x14ac:dyDescent="0.35">
      <c r="A55" s="11" t="s">
        <v>283</v>
      </c>
      <c r="B55" s="11"/>
      <c r="C55" s="11"/>
      <c r="D55" s="11"/>
      <c r="E55" s="12">
        <f>AVERAGE(E2:E54)</f>
        <v>9.1620873107667922E-2</v>
      </c>
      <c r="F55" s="12"/>
      <c r="G55" s="11"/>
      <c r="H55" s="21"/>
      <c r="I55" s="12"/>
      <c r="J55" s="21"/>
      <c r="K55" s="12">
        <f>AVERAGE(K2:K54)</f>
        <v>0.13502188634418016</v>
      </c>
      <c r="L55" s="20">
        <f>SUM(L2:L54)</f>
        <v>17499</v>
      </c>
      <c r="M55" s="11"/>
      <c r="N55" s="20">
        <f>SUM(N2:N54)</f>
        <v>197695591</v>
      </c>
      <c r="O55" s="20">
        <f>SUM(O2:O54)</f>
        <v>24610677</v>
      </c>
    </row>
    <row r="56" spans="1:17" x14ac:dyDescent="0.35">
      <c r="A56" s="38" t="s">
        <v>284</v>
      </c>
      <c r="B56" s="38"/>
      <c r="C56" s="38"/>
      <c r="D56" s="38"/>
      <c r="E56" s="39">
        <f>AVERAGEIF(F2:F54,"Yes",E2:E54)</f>
        <v>0.12742146808065624</v>
      </c>
      <c r="F56" s="38"/>
      <c r="G56" s="38"/>
      <c r="H56" s="40"/>
      <c r="I56" s="39"/>
      <c r="J56" s="40"/>
      <c r="K56" s="39">
        <f>AVERAGEIF(F2:F54,"Yes",K2:K54)</f>
        <v>0.14990736217484266</v>
      </c>
      <c r="L56" s="43">
        <f>SUMIF(F2:F54,"Yes",L2:L54)</f>
        <v>5814</v>
      </c>
      <c r="M56" s="40">
        <f>N56/L56</f>
        <v>11734.044031647747</v>
      </c>
      <c r="N56" s="40">
        <f>SUMIF(F2:F54,"Yes",N2:N54)</f>
        <v>68221732</v>
      </c>
      <c r="O56" s="40">
        <f>SUMIF(F2:F54,"Yes",O2:O54)</f>
        <v>10312481</v>
      </c>
      <c r="P56" s="17">
        <f>O56/L56</f>
        <v>1773.7325421396629</v>
      </c>
      <c r="Q56" s="5">
        <f>P56/M56</f>
        <v>0.15116123114552413</v>
      </c>
    </row>
    <row r="57" spans="1:17" s="11" customFormat="1" x14ac:dyDescent="0.35">
      <c r="A57" s="41" t="s">
        <v>285</v>
      </c>
      <c r="E57" s="12">
        <f>Q56</f>
        <v>0.15116123114552413</v>
      </c>
      <c r="H57" s="21"/>
      <c r="I57" s="12"/>
      <c r="J57" s="21"/>
      <c r="K57" s="12">
        <f>E57</f>
        <v>0.15116123114552413</v>
      </c>
      <c r="L57" s="20">
        <f>SUMIF(F2:F54,"",L2:L54)</f>
        <v>7051</v>
      </c>
      <c r="M57" s="40">
        <f>N57/L57</f>
        <v>11178.793788115161</v>
      </c>
      <c r="N57" s="21">
        <f>SUMIF(F2:F54,"",N2:N54)</f>
        <v>78821675</v>
      </c>
      <c r="O57" s="21">
        <f>SUMIF(F2:F54,"",C2:C54)</f>
        <v>4504322</v>
      </c>
      <c r="P57" s="17">
        <f>O57/L57</f>
        <v>638.82030917600343</v>
      </c>
      <c r="Q57" s="5">
        <f>P57/M56</f>
        <v>5.4441615137377102E-2</v>
      </c>
    </row>
    <row r="58" spans="1:17" s="11" customFormat="1" x14ac:dyDescent="0.35">
      <c r="A58" s="41" t="s">
        <v>286</v>
      </c>
      <c r="E58" s="12">
        <f>E56-E57</f>
        <v>-2.3739763064867886E-2</v>
      </c>
      <c r="H58" s="21"/>
      <c r="I58" s="12"/>
      <c r="J58" s="21"/>
      <c r="K58" s="12">
        <f>K56-K57</f>
        <v>-1.253868970681471E-3</v>
      </c>
      <c r="L58" s="20"/>
      <c r="N58" s="21"/>
      <c r="O58" s="21"/>
      <c r="P58" s="44">
        <f>P56-P57</f>
        <v>1134.9122329636593</v>
      </c>
      <c r="Q58" s="12">
        <f>Q56-Q57</f>
        <v>9.6719616008147019E-2</v>
      </c>
    </row>
    <row r="61" spans="1:17" x14ac:dyDescent="0.35">
      <c r="A61" t="s">
        <v>287</v>
      </c>
      <c r="E61" s="5">
        <f>AVERAGE(E2,E3,E6,E12,E14,E21,E26,E29,E32,E36,E43,E44)</f>
        <v>0.14810940227855701</v>
      </c>
      <c r="K61" s="5">
        <f>AVERAGE(K2,K3,K6,K12,K14,K21,K26,K29,K32,K36,K43,K44)</f>
        <v>0.16292979132998717</v>
      </c>
      <c r="L61" s="1">
        <f>SUM(L2,L3,L6,L12,L14,L21,L26,L29,L32,L36,L43,L44)</f>
        <v>3475</v>
      </c>
    </row>
    <row r="62" spans="1:17" x14ac:dyDescent="0.35">
      <c r="A62" t="s">
        <v>288</v>
      </c>
      <c r="E62" s="5">
        <f>AVERAGE(E7,E16,E17,E18,E24,E27,E33,E39,E40,E47,E50,E51)</f>
        <v>0.10808361694913748</v>
      </c>
      <c r="K62" s="5">
        <f>AVERAGE(K7,K16,K17,K18,K24,K27,K33,K39,K40,K47,K50,K51)</f>
        <v>0.13658951535495634</v>
      </c>
      <c r="L62" s="1">
        <f>SUM(L7,L16,L17,L18,L24,L27,L33,L39,L40,L47,L50,L51)</f>
        <v>3142</v>
      </c>
    </row>
    <row r="67" spans="1:15" x14ac:dyDescent="0.35">
      <c r="A67" s="11" t="s">
        <v>289</v>
      </c>
      <c r="B67" s="11" t="s">
        <v>184</v>
      </c>
      <c r="C67" s="21">
        <v>147347</v>
      </c>
      <c r="D67" s="21">
        <f>4243864+729242</f>
        <v>4973106</v>
      </c>
      <c r="E67" s="12">
        <f t="shared" ref="E67" si="21">C67/D67</f>
        <v>2.9628767213085747E-2</v>
      </c>
      <c r="F67" s="12"/>
      <c r="G67" s="11" t="s">
        <v>290</v>
      </c>
      <c r="H67" s="21">
        <v>483666</v>
      </c>
      <c r="I67" s="12">
        <f t="shared" ref="I67" si="22">(C67+H67)/D67</f>
        <v>0.12688508951950753</v>
      </c>
      <c r="J67" s="21">
        <v>512011</v>
      </c>
      <c r="K67" s="12">
        <f t="shared" ref="K67" si="23">(C67+H67+J67)/(D67+J67)</f>
        <v>0.20838643915890948</v>
      </c>
      <c r="L67" s="20">
        <v>538</v>
      </c>
      <c r="M67" s="21">
        <f t="shared" ref="M67" si="24">(D67+J67)/L67</f>
        <v>10195.384758364313</v>
      </c>
      <c r="N67" s="21">
        <f t="shared" ref="N67:O67" si="25">D67+J67</f>
        <v>5485117</v>
      </c>
      <c r="O67" s="21">
        <f t="shared" si="25"/>
        <v>0.23801520637199522</v>
      </c>
    </row>
    <row r="68" spans="1:15" x14ac:dyDescent="0.35">
      <c r="A68" s="11" t="s">
        <v>291</v>
      </c>
      <c r="B68" s="11" t="s">
        <v>184</v>
      </c>
      <c r="C68" s="21">
        <v>120876</v>
      </c>
      <c r="D68" s="21">
        <v>3639631</v>
      </c>
      <c r="E68" s="12">
        <f t="shared" ref="E68" si="26">C68/D68</f>
        <v>3.3211059033182208E-2</v>
      </c>
      <c r="F68" s="12"/>
      <c r="G68" s="11" t="s">
        <v>292</v>
      </c>
      <c r="H68" s="21">
        <v>44731</v>
      </c>
      <c r="I68" s="12">
        <f t="shared" ref="I68" si="27">(C68+H68)/D68</f>
        <v>4.550104117697646E-2</v>
      </c>
      <c r="J68" s="21">
        <v>70622</v>
      </c>
      <c r="K68" s="12">
        <f t="shared" ref="K68" si="28">(C68+H68+J68)/(D68+J68)</f>
        <v>6.3669243040838458E-2</v>
      </c>
      <c r="L68" s="20">
        <v>300</v>
      </c>
      <c r="M68" s="21">
        <f t="shared" ref="M68" si="29">(D68+J68)/L68</f>
        <v>12367.51</v>
      </c>
      <c r="N68" s="21">
        <f t="shared" ref="N68:O68" si="30">D68+J68</f>
        <v>3710253</v>
      </c>
      <c r="O68" s="21">
        <f t="shared" si="30"/>
        <v>9.6880302074020666E-2</v>
      </c>
    </row>
    <row r="69" spans="1:15" x14ac:dyDescent="0.35">
      <c r="A69" s="11" t="s">
        <v>293</v>
      </c>
      <c r="B69" s="11" t="s">
        <v>275</v>
      </c>
      <c r="C69" s="21">
        <v>24555</v>
      </c>
      <c r="D69" s="21">
        <v>3312210</v>
      </c>
      <c r="E69" s="12">
        <f t="shared" ref="E69" si="31">C69/D69</f>
        <v>7.4134792178032188E-3</v>
      </c>
      <c r="F69" s="12"/>
      <c r="G69" s="11" t="s">
        <v>292</v>
      </c>
      <c r="H69" s="21">
        <v>274</v>
      </c>
      <c r="I69" s="12">
        <f t="shared" ref="I69" si="32">(C69+H69)/D69</f>
        <v>7.4962034412069285E-3</v>
      </c>
      <c r="J69" s="21">
        <v>0</v>
      </c>
      <c r="K69" s="12">
        <f t="shared" ref="K69" si="33">(C69+H69+J69)/(D69+J69)</f>
        <v>7.4962034412069285E-3</v>
      </c>
      <c r="L69" s="20">
        <v>314</v>
      </c>
      <c r="M69" s="21">
        <f t="shared" ref="M69" si="34">(D69+J69)/L69</f>
        <v>10548.43949044586</v>
      </c>
      <c r="N69" s="21">
        <f t="shared" ref="N69:O69" si="35">D69+J69</f>
        <v>3312210</v>
      </c>
      <c r="O69" s="21">
        <f t="shared" si="35"/>
        <v>1.4909682659010147E-2</v>
      </c>
    </row>
    <row r="70" spans="1:15" x14ac:dyDescent="0.35">
      <c r="A70" s="11" t="s">
        <v>294</v>
      </c>
      <c r="B70" s="11" t="s">
        <v>174</v>
      </c>
      <c r="C70" s="21">
        <v>1157278</v>
      </c>
      <c r="D70" s="21">
        <v>14847304</v>
      </c>
      <c r="E70" s="12">
        <f t="shared" ref="E70" si="36">C70/D70</f>
        <v>7.7945329333864249E-2</v>
      </c>
      <c r="F70" s="12"/>
      <c r="G70" s="11" t="s">
        <v>290</v>
      </c>
      <c r="H70" s="21">
        <v>1183650</v>
      </c>
      <c r="I70" s="12">
        <f t="shared" ref="I70" si="37">(C70+H70)/D70</f>
        <v>0.15766687339331101</v>
      </c>
      <c r="J70" s="21">
        <v>8360</v>
      </c>
      <c r="K70" s="12">
        <f t="shared" ref="K70:K72" si="38">(C70+H70+J70)/(D70+J70)</f>
        <v>0.15814089494754324</v>
      </c>
      <c r="L70" s="20">
        <v>920</v>
      </c>
      <c r="M70" s="21">
        <f t="shared" ref="M70:M72" si="39">(D70+J70)/L70</f>
        <v>16147.460869565217</v>
      </c>
      <c r="N70" s="21">
        <f t="shared" ref="N70:O72" si="40">D70+J70</f>
        <v>14855664</v>
      </c>
      <c r="O70" s="21">
        <f t="shared" si="40"/>
        <v>0.23608622428140749</v>
      </c>
    </row>
    <row r="71" spans="1:15" x14ac:dyDescent="0.35">
      <c r="A71" s="11" t="s">
        <v>295</v>
      </c>
      <c r="B71" s="11" t="s">
        <v>296</v>
      </c>
      <c r="C71" s="21">
        <v>48193</v>
      </c>
      <c r="D71" s="21">
        <v>1928397</v>
      </c>
      <c r="E71" s="12">
        <f t="shared" ref="E71" si="41">C71/D71</f>
        <v>2.4991223280268534E-2</v>
      </c>
      <c r="F71" s="12" t="s">
        <v>178</v>
      </c>
      <c r="G71" s="11" t="s">
        <v>290</v>
      </c>
      <c r="H71" s="21">
        <v>48193</v>
      </c>
      <c r="I71" s="12">
        <f t="shared" ref="I71" si="42">(C71+H71)/D71</f>
        <v>4.9982446560537068E-2</v>
      </c>
      <c r="J71" s="21"/>
      <c r="K71" s="12"/>
      <c r="L71" s="20"/>
      <c r="M71" s="21"/>
      <c r="N71" s="21"/>
      <c r="O71" s="21"/>
    </row>
    <row r="72" spans="1:15" x14ac:dyDescent="0.35">
      <c r="A72" s="11" t="s">
        <v>297</v>
      </c>
      <c r="B72" s="11" t="s">
        <v>174</v>
      </c>
      <c r="C72" s="21">
        <v>283994</v>
      </c>
      <c r="D72" s="21">
        <v>18152444</v>
      </c>
      <c r="E72" s="12">
        <f t="shared" ref="E72" si="43">C72/D72</f>
        <v>1.5644945661311502E-2</v>
      </c>
      <c r="F72" s="12"/>
      <c r="G72" s="11" t="s">
        <v>298</v>
      </c>
      <c r="H72" s="21">
        <v>236052</v>
      </c>
      <c r="I72" s="12">
        <f t="shared" ref="I72" si="44">(C72+H72)/D72</f>
        <v>2.8648814451651801E-2</v>
      </c>
      <c r="J72" s="21">
        <v>118810</v>
      </c>
      <c r="K72" s="12">
        <f t="shared" si="38"/>
        <v>3.4965087782152224E-2</v>
      </c>
      <c r="L72" s="20">
        <f>120+273</f>
        <v>393</v>
      </c>
      <c r="M72" s="21">
        <f t="shared" si="39"/>
        <v>46491.740458015265</v>
      </c>
      <c r="N72" s="21">
        <f t="shared" si="40"/>
        <v>18271254</v>
      </c>
      <c r="O72" s="21">
        <f t="shared" si="40"/>
        <v>5.0610033443463723E-2</v>
      </c>
    </row>
    <row r="73" spans="1:15" x14ac:dyDescent="0.35">
      <c r="A73" s="11" t="s">
        <v>299</v>
      </c>
      <c r="B73" s="11" t="s">
        <v>174</v>
      </c>
      <c r="C73" s="21">
        <v>1033500</v>
      </c>
      <c r="D73" s="21">
        <v>6645343</v>
      </c>
      <c r="E73" s="12">
        <f t="shared" ref="E73" si="45">C73/D73</f>
        <v>0.15552244632067902</v>
      </c>
      <c r="F73" s="12" t="s">
        <v>193</v>
      </c>
      <c r="G73" s="11" t="s">
        <v>300</v>
      </c>
      <c r="H73" s="21">
        <v>0</v>
      </c>
      <c r="I73" s="12">
        <f t="shared" ref="I73" si="46">(C73+H73)/D73</f>
        <v>0.15552244632067902</v>
      </c>
      <c r="J73" s="21">
        <v>250000</v>
      </c>
      <c r="K73" s="12">
        <f t="shared" ref="K73" si="47">(C73+H73+J73)/(D73+J73)</f>
        <v>0.18614012384880635</v>
      </c>
      <c r="L73" s="20">
        <v>560</v>
      </c>
      <c r="M73" s="21">
        <f t="shared" ref="M73" si="48">(D73+J73)/L73</f>
        <v>12313.112499999999</v>
      </c>
      <c r="N73" s="21">
        <f t="shared" ref="N73" si="49">D73+J73</f>
        <v>6895343</v>
      </c>
      <c r="O73" s="21">
        <f t="shared" ref="O73" si="50">E73+K73</f>
        <v>0.34166257016948537</v>
      </c>
    </row>
    <row r="74" spans="1:15" x14ac:dyDescent="0.35">
      <c r="A74" s="11" t="s">
        <v>301</v>
      </c>
      <c r="B74" s="11" t="s">
        <v>275</v>
      </c>
      <c r="C74" s="21">
        <v>71468</v>
      </c>
      <c r="D74" s="21">
        <v>1563924</v>
      </c>
      <c r="E74" s="12">
        <f t="shared" ref="E74" si="51">C74/D74</f>
        <v>4.569787278665715E-2</v>
      </c>
      <c r="F74" s="12" t="s">
        <v>18</v>
      </c>
      <c r="G74" s="11" t="s">
        <v>302</v>
      </c>
      <c r="H74" s="21">
        <v>1128</v>
      </c>
      <c r="I74" s="12">
        <f t="shared" ref="I74" si="52">(C74+H74)/D74</f>
        <v>4.641913545671017E-2</v>
      </c>
      <c r="J74" s="21">
        <v>38777</v>
      </c>
      <c r="K74" s="12">
        <f t="shared" ref="K74" si="53">(C74+H74+J74)/(D74+J74)</f>
        <v>6.9490815816549686E-2</v>
      </c>
      <c r="L74" s="20">
        <v>156</v>
      </c>
      <c r="M74" s="21">
        <f t="shared" ref="M74" si="54">(D74+J74)/L74</f>
        <v>10273.724358974359</v>
      </c>
      <c r="N74" s="21">
        <f t="shared" ref="N74" si="55">D74+J74</f>
        <v>1602701</v>
      </c>
      <c r="O74" s="21">
        <f t="shared" ref="O74" si="56">E74+K74</f>
        <v>0.11518868860320683</v>
      </c>
    </row>
    <row r="75" spans="1:15" x14ac:dyDescent="0.35">
      <c r="A75" s="11" t="s">
        <v>303</v>
      </c>
      <c r="B75" s="11" t="s">
        <v>174</v>
      </c>
      <c r="C75" s="21">
        <v>298864</v>
      </c>
      <c r="D75" s="21">
        <v>7115146</v>
      </c>
      <c r="E75" s="12">
        <f t="shared" ref="E75" si="57">C75/D75</f>
        <v>4.2003916715131352E-2</v>
      </c>
      <c r="F75" s="12"/>
      <c r="G75" s="11" t="s">
        <v>290</v>
      </c>
      <c r="H75" s="21">
        <v>205797</v>
      </c>
      <c r="I75" s="12">
        <f t="shared" ref="I75" si="58">(C75+H75)/D75</f>
        <v>7.0927708300012396E-2</v>
      </c>
      <c r="J75" s="21">
        <v>213671</v>
      </c>
      <c r="K75" s="12">
        <f t="shared" ref="K75" si="59">(C75+H75+J75)/(D75+J75)</f>
        <v>9.8014727342762134E-2</v>
      </c>
      <c r="L75" s="20">
        <v>762</v>
      </c>
      <c r="M75" s="21">
        <f t="shared" ref="M75" si="60">(D75+J75)/L75</f>
        <v>9617.8700787401576</v>
      </c>
      <c r="N75" s="21">
        <f t="shared" ref="N75" si="61">D75+J75</f>
        <v>7328817</v>
      </c>
      <c r="O75" s="21">
        <f t="shared" ref="O75" si="62">E75+K75</f>
        <v>0.14001864405789349</v>
      </c>
    </row>
    <row r="76" spans="1:15" x14ac:dyDescent="0.35">
      <c r="A76" s="11" t="s">
        <v>304</v>
      </c>
      <c r="B76" s="11" t="s">
        <v>174</v>
      </c>
      <c r="C76" s="21">
        <v>1449477</v>
      </c>
      <c r="D76" s="21">
        <v>9227151</v>
      </c>
      <c r="E76" s="12">
        <f t="shared" ref="E76" si="63">C76/D76</f>
        <v>0.1570882496666631</v>
      </c>
      <c r="F76" s="12" t="s">
        <v>193</v>
      </c>
      <c r="G76" s="11" t="s">
        <v>305</v>
      </c>
      <c r="H76" s="21">
        <v>7584</v>
      </c>
      <c r="I76" s="12">
        <f t="shared" ref="I76" si="64">(C76+H76)/D76</f>
        <v>0.15791017183960682</v>
      </c>
      <c r="J76" s="21">
        <v>114180</v>
      </c>
      <c r="K76" s="12">
        <f t="shared" ref="K76" si="65">(C76+H76+J76)/(D76+J76)</f>
        <v>0.16820311794967976</v>
      </c>
      <c r="L76" s="20">
        <f>425+380</f>
        <v>805</v>
      </c>
      <c r="M76" s="21">
        <f t="shared" ref="M76" si="66">(D76+J76)/L76</f>
        <v>11604.137888198758</v>
      </c>
      <c r="N76" s="21">
        <f t="shared" ref="N76" si="67">D76+J76</f>
        <v>9341331</v>
      </c>
      <c r="O76" s="21">
        <f t="shared" ref="O76" si="68">E76+K76</f>
        <v>0.32529136761634286</v>
      </c>
    </row>
    <row r="78" spans="1:15" x14ac:dyDescent="0.35">
      <c r="H78" s="2">
        <f>10000000/500</f>
        <v>20000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D84D0-5176-4A31-86C8-E4AF52C0D9B2}">
  <dimension ref="A1:AC51"/>
  <sheetViews>
    <sheetView topLeftCell="Y27" workbookViewId="0">
      <selection activeCell="AA48" sqref="AA48"/>
    </sheetView>
  </sheetViews>
  <sheetFormatPr defaultColWidth="8.81640625" defaultRowHeight="14.5" x14ac:dyDescent="0.35"/>
  <cols>
    <col min="1" max="1" width="9.453125" style="3" hidden="1" customWidth="1"/>
    <col min="2" max="2" width="7.81640625" style="3" hidden="1" customWidth="1"/>
    <col min="3" max="3" width="6.81640625" style="3" hidden="1" customWidth="1"/>
    <col min="4" max="4" width="6.7265625" style="3" hidden="1" customWidth="1"/>
    <col min="5" max="5" width="6.26953125" style="3" hidden="1" customWidth="1"/>
    <col min="6" max="6" width="7.1796875" style="3" hidden="1" customWidth="1"/>
    <col min="7" max="7" width="10.26953125" style="3" hidden="1" customWidth="1"/>
    <col min="8" max="8" width="9.1796875" hidden="1" customWidth="1"/>
    <col min="9" max="9" width="9.453125" hidden="1" customWidth="1"/>
    <col min="10" max="10" width="8" hidden="1" customWidth="1"/>
    <col min="11" max="11" width="7.81640625" hidden="1" customWidth="1"/>
    <col min="12" max="12" width="8.1796875" hidden="1" customWidth="1"/>
    <col min="13" max="13" width="12.453125" hidden="1" customWidth="1"/>
    <col min="14" max="14" width="7.7265625" hidden="1" customWidth="1"/>
    <col min="15" max="15" width="8" hidden="1" customWidth="1"/>
    <col min="16" max="16" width="9.453125" hidden="1" customWidth="1"/>
    <col min="17" max="17" width="13.26953125" hidden="1" customWidth="1"/>
    <col min="18" max="18" width="6.7265625" hidden="1" customWidth="1"/>
    <col min="19" max="19" width="8.81640625" hidden="1" customWidth="1"/>
    <col min="20" max="20" width="11.1796875" hidden="1" customWidth="1"/>
    <col min="21" max="21" width="14.7265625" hidden="1" customWidth="1"/>
    <col min="22" max="22" width="8.26953125" hidden="1" customWidth="1"/>
    <col min="23" max="23" width="14.453125" hidden="1" customWidth="1"/>
    <col min="24" max="24" width="0" hidden="1" customWidth="1"/>
    <col min="29" max="29" width="8.7265625" style="5"/>
  </cols>
  <sheetData>
    <row r="1" spans="1:29" hidden="1" x14ac:dyDescent="0.35">
      <c r="Y1" s="3" t="s">
        <v>306</v>
      </c>
    </row>
    <row r="2" spans="1:29" s="3" customFormat="1" ht="29.25" hidden="1" customHeight="1" x14ac:dyDescent="0.35">
      <c r="A2" s="3" t="s">
        <v>307</v>
      </c>
      <c r="B2" s="6" t="s">
        <v>308</v>
      </c>
      <c r="C2" s="6" t="s">
        <v>309</v>
      </c>
      <c r="D2" s="6" t="s">
        <v>310</v>
      </c>
      <c r="E2" s="3" t="s">
        <v>311</v>
      </c>
      <c r="F2" s="6" t="s">
        <v>312</v>
      </c>
      <c r="G2" s="6" t="s">
        <v>52</v>
      </c>
      <c r="H2" s="6" t="s">
        <v>313</v>
      </c>
      <c r="I2" s="6" t="s">
        <v>314</v>
      </c>
      <c r="J2" s="6" t="s">
        <v>315</v>
      </c>
      <c r="K2" s="6" t="s">
        <v>316</v>
      </c>
      <c r="L2" s="6" t="s">
        <v>317</v>
      </c>
      <c r="M2" s="6" t="s">
        <v>318</v>
      </c>
      <c r="N2" s="6" t="s">
        <v>319</v>
      </c>
      <c r="O2" s="7" t="s">
        <v>320</v>
      </c>
      <c r="P2" s="7" t="s">
        <v>321</v>
      </c>
      <c r="Q2" s="6" t="s">
        <v>322</v>
      </c>
      <c r="R2" s="7" t="s">
        <v>323</v>
      </c>
      <c r="S2" s="6" t="s">
        <v>324</v>
      </c>
      <c r="T2" s="6" t="s">
        <v>325</v>
      </c>
      <c r="U2" s="6" t="s">
        <v>326</v>
      </c>
      <c r="V2" s="6" t="s">
        <v>327</v>
      </c>
      <c r="W2" s="6" t="s">
        <v>328</v>
      </c>
      <c r="Y2" s="9"/>
      <c r="Z2" s="10" t="s">
        <v>329</v>
      </c>
      <c r="AA2" s="10" t="s">
        <v>330</v>
      </c>
      <c r="AC2" s="62"/>
    </row>
    <row r="3" spans="1:29" hidden="1" x14ac:dyDescent="0.35">
      <c r="A3" s="3" t="s">
        <v>306</v>
      </c>
      <c r="B3" s="1">
        <v>1275</v>
      </c>
      <c r="C3" s="1">
        <f>H3/B3</f>
        <v>494.35294117647061</v>
      </c>
      <c r="D3" s="5">
        <f>D27</f>
        <v>0.05</v>
      </c>
      <c r="E3" s="16">
        <f>ROUND(C3*(1+D3)^5-C3,0)</f>
        <v>137</v>
      </c>
      <c r="F3" s="5">
        <f>F27</f>
        <v>0.05</v>
      </c>
      <c r="G3" s="16">
        <f>ROUND((B3*(1+F3)^5-B3),0)</f>
        <v>352</v>
      </c>
      <c r="H3" s="1">
        <v>630300</v>
      </c>
      <c r="I3" s="1">
        <f>B3+G3</f>
        <v>1627</v>
      </c>
      <c r="J3" s="2">
        <v>11495.330166441199</v>
      </c>
      <c r="K3" s="4">
        <v>0.12</v>
      </c>
      <c r="L3" s="2">
        <f>J3*K3</f>
        <v>1379.4396199729438</v>
      </c>
      <c r="M3" s="2">
        <f>H3*L3</f>
        <v>869460792.46894646</v>
      </c>
      <c r="N3" s="2"/>
      <c r="O3" s="19">
        <f>I3</f>
        <v>1627</v>
      </c>
      <c r="P3" s="8">
        <f>(C3+E3)*O3</f>
        <v>1027211.2352941177</v>
      </c>
      <c r="Q3" s="2">
        <f>(B3+G3)*(C3+E3)*J3*K3</f>
        <v>1416975876.046056</v>
      </c>
      <c r="R3" s="2"/>
      <c r="S3" s="1">
        <f>B3</f>
        <v>1275</v>
      </c>
      <c r="T3" s="2">
        <v>7000000</v>
      </c>
      <c r="U3" s="2">
        <f>S3*T3</f>
        <v>8925000000</v>
      </c>
      <c r="V3" s="1">
        <f>O3</f>
        <v>1627</v>
      </c>
      <c r="W3" s="2">
        <f>V3*(T3+2000000)</f>
        <v>14643000000</v>
      </c>
      <c r="Y3" s="11" t="s">
        <v>80</v>
      </c>
      <c r="Z3" s="12" t="e">
        <f>'Data Details'!#REF!</f>
        <v>#REF!</v>
      </c>
      <c r="AA3" s="12" t="e">
        <f>'Data Details'!#REF!</f>
        <v>#REF!</v>
      </c>
    </row>
    <row r="4" spans="1:29" hidden="1" x14ac:dyDescent="0.35">
      <c r="A4" t="s">
        <v>331</v>
      </c>
      <c r="B4" s="1">
        <v>250</v>
      </c>
      <c r="C4" s="5">
        <f>B4/B3</f>
        <v>0.19607843137254902</v>
      </c>
      <c r="D4" s="5"/>
      <c r="E4" s="1"/>
      <c r="F4" s="1"/>
      <c r="G4"/>
      <c r="H4" s="1">
        <f>B4*C3</f>
        <v>123588.23529411765</v>
      </c>
      <c r="I4" s="1"/>
      <c r="J4" s="2"/>
      <c r="K4" s="4"/>
      <c r="L4" s="2">
        <v>1147</v>
      </c>
      <c r="M4" s="2">
        <f>B4/B3*H3*L4</f>
        <v>141755705.88235295</v>
      </c>
      <c r="N4" s="5">
        <f>M4/M3</f>
        <v>0.16303864085673062</v>
      </c>
      <c r="O4" s="2"/>
      <c r="P4" s="2"/>
      <c r="Q4" s="2">
        <f>M4*1.5</f>
        <v>212633558.82352942</v>
      </c>
      <c r="R4" s="5">
        <f>Q4/Q3</f>
        <v>0.1500615235714981</v>
      </c>
      <c r="S4" s="2"/>
      <c r="T4" s="2"/>
      <c r="U4" s="2"/>
      <c r="V4" s="2"/>
      <c r="W4" s="2"/>
      <c r="Y4" s="11" t="s">
        <v>102</v>
      </c>
      <c r="Z4" s="12" t="e">
        <f>'Data Details'!#REF!</f>
        <v>#REF!</v>
      </c>
      <c r="AA4" s="12" t="e">
        <f>'Data Details'!#REF!</f>
        <v>#REF!</v>
      </c>
    </row>
    <row r="5" spans="1:29" hidden="1" x14ac:dyDescent="0.35">
      <c r="A5" s="3" t="s">
        <v>332</v>
      </c>
      <c r="B5" s="1">
        <f>B3*N5</f>
        <v>200</v>
      </c>
      <c r="C5" s="1"/>
      <c r="D5" s="1"/>
      <c r="E5" s="1"/>
      <c r="F5" s="1"/>
      <c r="G5"/>
      <c r="H5" s="1">
        <f>B5*C3</f>
        <v>98870.588235294126</v>
      </c>
      <c r="I5" s="1"/>
      <c r="J5" s="2"/>
      <c r="K5" s="4"/>
      <c r="L5" s="2"/>
      <c r="M5" s="2"/>
      <c r="N5" s="5">
        <f>U5/U3</f>
        <v>0.15686274509803921</v>
      </c>
      <c r="O5" s="2"/>
      <c r="P5" s="2"/>
      <c r="Q5" s="2"/>
      <c r="R5" s="5">
        <f>W5/W3</f>
        <v>9.5608823328552889E-2</v>
      </c>
      <c r="S5" s="5"/>
      <c r="T5" s="2"/>
      <c r="U5" s="2">
        <v>1400000000</v>
      </c>
      <c r="V5" s="2"/>
      <c r="W5" s="2">
        <f>U5</f>
        <v>1400000000</v>
      </c>
      <c r="Y5" s="11" t="s">
        <v>112</v>
      </c>
      <c r="Z5" s="12" t="e">
        <f>'Data Details'!#REF!</f>
        <v>#REF!</v>
      </c>
      <c r="AA5" s="12" t="e">
        <f>'Data Details'!#REF!</f>
        <v>#REF!</v>
      </c>
    </row>
    <row r="6" spans="1:29" hidden="1" x14ac:dyDescent="0.35">
      <c r="A6" t="s">
        <v>333</v>
      </c>
      <c r="B6" s="1">
        <f>N6*B3</f>
        <v>555.9</v>
      </c>
      <c r="C6" s="1"/>
      <c r="D6" s="1"/>
      <c r="E6" s="1"/>
      <c r="F6" s="1"/>
      <c r="G6"/>
      <c r="H6" s="1">
        <f>B6*C3</f>
        <v>274810.8</v>
      </c>
      <c r="I6" s="1"/>
      <c r="J6" s="2"/>
      <c r="K6" s="4"/>
      <c r="L6" s="2"/>
      <c r="M6" s="2"/>
      <c r="N6" s="5">
        <v>0.436</v>
      </c>
      <c r="O6" s="16">
        <f>ROUND(B6*0.75+E3*0.25,0)</f>
        <v>451</v>
      </c>
      <c r="P6" s="2"/>
      <c r="Q6" s="2"/>
      <c r="R6" s="5">
        <f>O6/O3</f>
        <v>0.27719729563614015</v>
      </c>
      <c r="S6" s="2"/>
      <c r="T6" s="2"/>
      <c r="U6" s="2"/>
      <c r="V6" s="2"/>
      <c r="W6" s="2"/>
      <c r="Y6" s="11" t="s">
        <v>162</v>
      </c>
      <c r="Z6" s="12" t="e">
        <f>SUM(Z3:Z5)</f>
        <v>#REF!</v>
      </c>
      <c r="AA6" s="12" t="e">
        <f>SUM(AA3:AA5)</f>
        <v>#REF!</v>
      </c>
    </row>
    <row r="7" spans="1:29" hidden="1" x14ac:dyDescent="0.35">
      <c r="A7" t="s">
        <v>334</v>
      </c>
      <c r="B7" s="1"/>
      <c r="C7" s="1"/>
      <c r="D7" s="1"/>
      <c r="E7" s="1"/>
      <c r="F7" s="1"/>
      <c r="G7"/>
      <c r="H7" s="1"/>
      <c r="I7" s="1"/>
      <c r="J7" s="2"/>
      <c r="K7" s="4"/>
      <c r="L7" s="2"/>
      <c r="M7" s="2"/>
      <c r="N7" s="5">
        <v>0</v>
      </c>
      <c r="O7" s="2"/>
      <c r="P7" s="2"/>
      <c r="Q7" s="2"/>
      <c r="R7" s="5">
        <v>0</v>
      </c>
      <c r="S7" s="2"/>
      <c r="T7" s="2"/>
      <c r="U7" s="2"/>
      <c r="V7" s="2"/>
      <c r="W7" s="2"/>
    </row>
    <row r="8" spans="1:29" hidden="1" x14ac:dyDescent="0.35">
      <c r="A8" s="3" t="s">
        <v>162</v>
      </c>
      <c r="B8" s="1"/>
      <c r="C8" s="1"/>
      <c r="D8" s="1"/>
      <c r="E8" s="1"/>
      <c r="F8" s="1"/>
      <c r="G8"/>
      <c r="H8" s="1"/>
      <c r="I8" s="1"/>
      <c r="J8" s="2"/>
      <c r="K8" s="4"/>
      <c r="L8" s="2"/>
      <c r="M8" s="2"/>
      <c r="N8" s="5">
        <f>SUM(N4:N7)</f>
        <v>0.75590138595476986</v>
      </c>
      <c r="O8" s="2"/>
      <c r="P8" s="2"/>
      <c r="Q8" s="2"/>
      <c r="R8" s="5">
        <f>SUM(R4:R7)</f>
        <v>0.52286764253619111</v>
      </c>
      <c r="S8" s="2"/>
      <c r="T8" s="2"/>
      <c r="U8" s="2"/>
      <c r="V8" s="2"/>
      <c r="W8" s="2"/>
      <c r="Y8" s="3" t="s">
        <v>335</v>
      </c>
    </row>
    <row r="9" spans="1:29" ht="29" hidden="1" x14ac:dyDescent="0.35">
      <c r="A9"/>
      <c r="B9" s="1"/>
      <c r="C9" s="1"/>
      <c r="D9" s="1"/>
      <c r="E9" s="1"/>
      <c r="F9" s="1"/>
      <c r="G9"/>
      <c r="H9" s="1"/>
      <c r="I9" s="1"/>
      <c r="J9" s="2"/>
      <c r="K9" s="4"/>
      <c r="L9" s="2"/>
      <c r="M9" s="2"/>
      <c r="N9" s="5"/>
      <c r="O9" s="2"/>
      <c r="P9" s="2"/>
      <c r="Q9" s="2"/>
      <c r="R9" s="5"/>
      <c r="S9" s="2"/>
      <c r="T9" s="2"/>
      <c r="U9" s="2"/>
      <c r="V9" s="2"/>
      <c r="W9" s="2"/>
      <c r="Y9" s="9"/>
      <c r="Z9" s="10" t="s">
        <v>329</v>
      </c>
      <c r="AA9" s="10" t="s">
        <v>330</v>
      </c>
    </row>
    <row r="10" spans="1:29" hidden="1" x14ac:dyDescent="0.35">
      <c r="A10" s="3" t="s">
        <v>335</v>
      </c>
      <c r="B10" s="1">
        <v>250</v>
      </c>
      <c r="C10" s="1">
        <f>H10/B10</f>
        <v>482.8</v>
      </c>
      <c r="D10" s="5">
        <f>D27</f>
        <v>0.05</v>
      </c>
      <c r="E10" s="16">
        <f>ROUND(C10*(1+D10)^5-C10,0)</f>
        <v>133</v>
      </c>
      <c r="F10" s="5">
        <f>F27</f>
        <v>0.05</v>
      </c>
      <c r="G10" s="16">
        <f>ROUND(B10*(1+F10)^5-B10,0)</f>
        <v>69</v>
      </c>
      <c r="H10" s="1">
        <v>120700</v>
      </c>
      <c r="I10" s="16">
        <f>B10+G10</f>
        <v>319</v>
      </c>
      <c r="J10" s="2">
        <v>9575</v>
      </c>
      <c r="K10" s="4">
        <v>0.12</v>
      </c>
      <c r="L10" s="2">
        <f>J10*K10</f>
        <v>1149</v>
      </c>
      <c r="M10" s="2">
        <f>H10*L10</f>
        <v>138684300</v>
      </c>
      <c r="N10" s="2"/>
      <c r="O10" s="8">
        <f>I10</f>
        <v>319</v>
      </c>
      <c r="P10" s="8">
        <f>(C10+E10)*O10</f>
        <v>196440.19999999998</v>
      </c>
      <c r="Q10" s="2">
        <f>(B10+G10)*(C10+E10)*J10*K10</f>
        <v>225709789.79999995</v>
      </c>
      <c r="R10" s="2"/>
      <c r="S10" s="1">
        <f>B10</f>
        <v>250</v>
      </c>
      <c r="T10" s="2">
        <f>T3</f>
        <v>7000000</v>
      </c>
      <c r="U10" s="2">
        <f>S10*T10</f>
        <v>1750000000</v>
      </c>
      <c r="V10" s="1">
        <f>O10</f>
        <v>319</v>
      </c>
      <c r="W10" s="2">
        <f>V10*T10</f>
        <v>2233000000</v>
      </c>
      <c r="Y10" s="11" t="s">
        <v>80</v>
      </c>
      <c r="Z10" s="12" t="e">
        <f>'Data Details'!#REF!</f>
        <v>#REF!</v>
      </c>
      <c r="AA10" s="12" t="e">
        <f>'Data Details'!#REF!</f>
        <v>#REF!</v>
      </c>
    </row>
    <row r="11" spans="1:29" hidden="1" x14ac:dyDescent="0.35">
      <c r="A11" t="s">
        <v>331</v>
      </c>
      <c r="B11" s="1">
        <v>237</v>
      </c>
      <c r="C11" s="5">
        <f>B11/B10</f>
        <v>0.94799999999999995</v>
      </c>
      <c r="D11" s="5"/>
      <c r="E11" s="1"/>
      <c r="F11" s="1"/>
      <c r="G11"/>
      <c r="H11" s="1"/>
      <c r="I11" s="1"/>
      <c r="J11" s="2"/>
      <c r="K11" s="4"/>
      <c r="L11" s="2">
        <v>253.66</v>
      </c>
      <c r="M11" s="2">
        <f>L11*C11*H10</f>
        <v>29024690.375999998</v>
      </c>
      <c r="N11" s="5">
        <f>M11/M10</f>
        <v>0.20928605744125325</v>
      </c>
      <c r="O11" s="2"/>
      <c r="P11" s="2"/>
      <c r="Q11" s="2">
        <f>M11</f>
        <v>29024690.375999998</v>
      </c>
      <c r="R11" s="5">
        <f>Q11/Q10</f>
        <v>0.12859296179274543</v>
      </c>
      <c r="S11" s="2"/>
      <c r="T11" s="2"/>
      <c r="U11" s="2"/>
      <c r="V11" s="2"/>
      <c r="W11" s="2"/>
      <c r="Y11" s="11" t="s">
        <v>102</v>
      </c>
      <c r="Z11" s="12" t="e">
        <f>'Data Details'!#REF!</f>
        <v>#REF!</v>
      </c>
      <c r="AA11" s="12" t="e">
        <f>'Data Details'!#REF!</f>
        <v>#REF!</v>
      </c>
    </row>
    <row r="12" spans="1:29" hidden="1" x14ac:dyDescent="0.35">
      <c r="A12" s="3" t="s">
        <v>332</v>
      </c>
      <c r="B12" s="1"/>
      <c r="C12" s="1"/>
      <c r="D12" s="1"/>
      <c r="E12" s="1"/>
      <c r="F12" s="1"/>
      <c r="G12"/>
      <c r="H12" s="1"/>
      <c r="I12" s="1"/>
      <c r="J12" s="2"/>
      <c r="K12" s="4"/>
      <c r="L12" s="2"/>
      <c r="M12" s="17"/>
      <c r="N12" s="5">
        <f>U12/U10</f>
        <v>2.3942857142857144E-2</v>
      </c>
      <c r="O12" s="2"/>
      <c r="P12" s="2"/>
      <c r="Q12" s="2"/>
      <c r="R12" s="5">
        <f>W12/W10</f>
        <v>2.8145991939095387E-2</v>
      </c>
      <c r="S12" s="2"/>
      <c r="T12" s="2"/>
      <c r="U12" s="2">
        <f>6700000+15500000+19700000</f>
        <v>41900000</v>
      </c>
      <c r="V12" s="2"/>
      <c r="W12" s="2">
        <f>U12*1.5</f>
        <v>62850000</v>
      </c>
      <c r="Y12" s="11" t="s">
        <v>112</v>
      </c>
      <c r="Z12" s="12" t="e">
        <f>'Data Details'!#REF!</f>
        <v>#REF!</v>
      </c>
      <c r="AA12" s="12" t="e">
        <f>'Data Details'!#REF!</f>
        <v>#REF!</v>
      </c>
    </row>
    <row r="13" spans="1:29" hidden="1" x14ac:dyDescent="0.35">
      <c r="A13" t="s">
        <v>333</v>
      </c>
      <c r="B13" s="1">
        <f>N13*B10</f>
        <v>65</v>
      </c>
      <c r="C13" s="1"/>
      <c r="D13" s="1"/>
      <c r="E13" s="1"/>
      <c r="F13" s="1"/>
      <c r="G13"/>
      <c r="H13" s="1"/>
      <c r="I13" s="1"/>
      <c r="J13" s="2"/>
      <c r="K13" s="4"/>
      <c r="L13" s="2"/>
      <c r="M13" s="2"/>
      <c r="N13" s="5">
        <v>0.26</v>
      </c>
      <c r="O13" s="16">
        <f>ROUND(B13*0.75+G10*0.25,0)</f>
        <v>66</v>
      </c>
      <c r="P13" s="2"/>
      <c r="Q13" s="2"/>
      <c r="R13" s="5">
        <f>O13/O10</f>
        <v>0.20689655172413793</v>
      </c>
      <c r="S13" s="2"/>
      <c r="T13" s="2"/>
      <c r="U13" s="2"/>
      <c r="V13" s="2"/>
      <c r="W13" s="2"/>
      <c r="Y13" s="11" t="s">
        <v>162</v>
      </c>
      <c r="Z13" s="12" t="e">
        <f>SUM(Z10:Z12)</f>
        <v>#REF!</v>
      </c>
      <c r="AA13" s="12" t="e">
        <f>SUM(AA10:AA12)</f>
        <v>#REF!</v>
      </c>
    </row>
    <row r="14" spans="1:29" hidden="1" x14ac:dyDescent="0.35">
      <c r="A14" t="s">
        <v>334</v>
      </c>
      <c r="B14" s="1">
        <v>56</v>
      </c>
      <c r="C14" s="5">
        <f>B14/B10</f>
        <v>0.224</v>
      </c>
      <c r="D14" s="1"/>
      <c r="E14" s="1"/>
      <c r="F14" s="1"/>
      <c r="G14"/>
      <c r="H14" s="1">
        <f>H10*U14/U10</f>
        <v>48280</v>
      </c>
      <c r="I14" s="5">
        <f>H14/H10</f>
        <v>0.4</v>
      </c>
      <c r="J14" s="2"/>
      <c r="K14" s="4"/>
      <c r="L14" s="2">
        <v>200</v>
      </c>
      <c r="M14" s="2">
        <f>H14*L14</f>
        <v>9656000</v>
      </c>
      <c r="N14" s="5">
        <f>M14/M10</f>
        <v>6.962576153176675E-2</v>
      </c>
      <c r="O14" s="2"/>
      <c r="P14" s="2"/>
      <c r="Q14" s="17">
        <f>W14/W10*P10*(L14)</f>
        <v>15394999.999999996</v>
      </c>
      <c r="R14" s="5">
        <f>Q14/Q10</f>
        <v>6.8207054792091257E-2</v>
      </c>
      <c r="S14" s="2"/>
      <c r="T14" s="2"/>
      <c r="U14" s="2">
        <v>700000000</v>
      </c>
      <c r="V14" s="2"/>
      <c r="W14" s="2">
        <f>U14*1.25</f>
        <v>875000000</v>
      </c>
    </row>
    <row r="15" spans="1:29" hidden="1" x14ac:dyDescent="0.35">
      <c r="A15" s="3" t="s">
        <v>162</v>
      </c>
      <c r="B15" s="1"/>
      <c r="C15" s="1"/>
      <c r="D15" s="1"/>
      <c r="E15" s="1"/>
      <c r="F15" s="1"/>
      <c r="G15"/>
      <c r="H15" s="1"/>
      <c r="I15" s="1"/>
      <c r="J15" s="2"/>
      <c r="K15" s="4"/>
      <c r="L15" s="2"/>
      <c r="M15" s="2"/>
      <c r="N15" s="5">
        <f>SUM(N11:N14)</f>
        <v>0.56285467611587725</v>
      </c>
      <c r="O15" s="2"/>
      <c r="P15" s="2"/>
      <c r="Q15" s="2"/>
      <c r="R15" s="5">
        <f>SUM(R11:R14)</f>
        <v>0.43184256024807005</v>
      </c>
      <c r="S15" s="2"/>
      <c r="T15" s="2"/>
      <c r="U15" s="2"/>
      <c r="V15" s="2"/>
      <c r="W15" s="2"/>
      <c r="Y15" s="3" t="s">
        <v>336</v>
      </c>
    </row>
    <row r="16" spans="1:29" ht="29" hidden="1" x14ac:dyDescent="0.35">
      <c r="A16"/>
      <c r="B16" s="1"/>
      <c r="C16" s="1"/>
      <c r="D16" s="1"/>
      <c r="E16" s="1"/>
      <c r="F16" s="1"/>
      <c r="G16"/>
      <c r="H16" s="1"/>
      <c r="I16" s="1"/>
      <c r="J16" s="2"/>
      <c r="K16" s="4"/>
      <c r="L16" s="2"/>
      <c r="M16" s="2"/>
      <c r="N16" s="5"/>
      <c r="O16" s="2"/>
      <c r="P16" s="2"/>
      <c r="Q16" s="2"/>
      <c r="R16" s="5"/>
      <c r="S16" s="2"/>
      <c r="T16" s="2"/>
      <c r="U16" s="2"/>
      <c r="V16" s="2"/>
      <c r="W16" s="2"/>
      <c r="Y16" s="9"/>
      <c r="Z16" s="10" t="s">
        <v>329</v>
      </c>
      <c r="AA16" s="10" t="s">
        <v>330</v>
      </c>
    </row>
    <row r="17" spans="1:29" hidden="1" x14ac:dyDescent="0.35">
      <c r="A17" s="3" t="s">
        <v>336</v>
      </c>
      <c r="B17" s="1">
        <v>661</v>
      </c>
      <c r="C17" s="1">
        <f>H17/B17</f>
        <v>456.88350983358549</v>
      </c>
      <c r="D17" s="5">
        <f>D27</f>
        <v>0.05</v>
      </c>
      <c r="E17" s="16">
        <f>ROUND(C17*(1+D17)^5-C17,0)</f>
        <v>126</v>
      </c>
      <c r="F17" s="5">
        <f>F27</f>
        <v>0.05</v>
      </c>
      <c r="G17" s="16">
        <f>ROUND(B17*(1+F17)^5-B17,0)</f>
        <v>183</v>
      </c>
      <c r="H17" s="1">
        <v>302000</v>
      </c>
      <c r="I17" s="16">
        <f>B17+G17</f>
        <v>844</v>
      </c>
      <c r="J17" s="2">
        <v>8920</v>
      </c>
      <c r="K17" s="4">
        <v>0.12</v>
      </c>
      <c r="L17" s="2">
        <f>J17*K17</f>
        <v>1070.3999999999999</v>
      </c>
      <c r="M17" s="2">
        <f>H17*L17</f>
        <v>323260799.99999994</v>
      </c>
      <c r="N17" s="2"/>
      <c r="O17" s="19">
        <f>I17</f>
        <v>844</v>
      </c>
      <c r="P17" s="8">
        <f>(C17+E17)*O17</f>
        <v>491953.6822995462</v>
      </c>
      <c r="Q17" s="2">
        <f>(B17+G17)*(C17+E17)*J17*K17</f>
        <v>526587221.53343421</v>
      </c>
      <c r="R17" s="2"/>
      <c r="S17" s="1">
        <f>B17</f>
        <v>661</v>
      </c>
      <c r="T17" s="2">
        <f>T3</f>
        <v>7000000</v>
      </c>
      <c r="U17" s="2">
        <f>S17*T17</f>
        <v>4627000000</v>
      </c>
      <c r="V17" s="1">
        <f>O17</f>
        <v>844</v>
      </c>
      <c r="W17" s="2">
        <f>V17*T17</f>
        <v>5908000000</v>
      </c>
      <c r="Y17" s="11" t="s">
        <v>80</v>
      </c>
      <c r="Z17" s="12" t="e">
        <f>'Data Details'!#REF!</f>
        <v>#REF!</v>
      </c>
      <c r="AA17" s="12" t="e">
        <f>'Data Details'!#REF!</f>
        <v>#REF!</v>
      </c>
    </row>
    <row r="18" spans="1:29" hidden="1" x14ac:dyDescent="0.35">
      <c r="A18" t="s">
        <v>331</v>
      </c>
      <c r="B18" s="1">
        <v>498</v>
      </c>
      <c r="C18" s="5">
        <f>B18/B17</f>
        <v>0.75340393343419065</v>
      </c>
      <c r="D18" s="5"/>
      <c r="E18" s="1"/>
      <c r="F18" s="1"/>
      <c r="G18"/>
      <c r="H18" s="1"/>
      <c r="I18" s="1"/>
      <c r="J18" s="2"/>
      <c r="K18" s="4"/>
      <c r="L18" s="2"/>
      <c r="M18" s="2">
        <f>135000000</f>
        <v>135000000</v>
      </c>
      <c r="N18" s="5">
        <f>M18/M17</f>
        <v>0.41761945772577441</v>
      </c>
      <c r="O18" s="2"/>
      <c r="P18" s="2"/>
      <c r="Q18" s="2">
        <f>M18</f>
        <v>135000000</v>
      </c>
      <c r="R18" s="5">
        <f>Q18/Q17</f>
        <v>0.25636778577132363</v>
      </c>
      <c r="S18" s="2"/>
      <c r="T18" s="2"/>
      <c r="U18" s="2"/>
      <c r="V18" s="2"/>
      <c r="W18" s="2"/>
      <c r="Y18" s="11" t="s">
        <v>102</v>
      </c>
      <c r="Z18" s="12" t="e">
        <f>'Data Details'!#REF!</f>
        <v>#REF!</v>
      </c>
      <c r="AA18" s="12" t="e">
        <f>'Data Details'!#REF!</f>
        <v>#REF!</v>
      </c>
    </row>
    <row r="19" spans="1:29" hidden="1" x14ac:dyDescent="0.35">
      <c r="A19" s="3" t="s">
        <v>332</v>
      </c>
      <c r="B19" s="1"/>
      <c r="C19" s="1"/>
      <c r="D19" s="1"/>
      <c r="E19" s="1"/>
      <c r="F19" s="1"/>
      <c r="G19"/>
      <c r="H19" s="1"/>
      <c r="I19" s="1"/>
      <c r="J19" s="2"/>
      <c r="K19" s="4"/>
      <c r="L19" s="2"/>
      <c r="M19" s="2"/>
      <c r="N19" s="5">
        <f>U19/U17</f>
        <v>0</v>
      </c>
      <c r="O19" s="2"/>
      <c r="P19" s="2"/>
      <c r="Q19" s="2"/>
      <c r="R19" s="5">
        <f>W19/W17</f>
        <v>0</v>
      </c>
      <c r="S19" s="2"/>
      <c r="T19" s="2"/>
      <c r="U19" s="2"/>
      <c r="V19" s="2"/>
      <c r="W19" s="2"/>
      <c r="Y19" s="11" t="s">
        <v>112</v>
      </c>
      <c r="Z19" s="12" t="e">
        <f>'Data Details'!#REF!</f>
        <v>#REF!</v>
      </c>
      <c r="AA19" s="12" t="e">
        <f>'Data Details'!#REF!</f>
        <v>#REF!</v>
      </c>
    </row>
    <row r="20" spans="1:29" hidden="1" x14ac:dyDescent="0.35">
      <c r="A20" t="s">
        <v>333</v>
      </c>
      <c r="B20" s="1"/>
      <c r="C20" s="1"/>
      <c r="D20" s="1"/>
      <c r="E20" s="1"/>
      <c r="F20" s="1"/>
      <c r="G20"/>
      <c r="H20" s="1"/>
      <c r="I20" s="1"/>
      <c r="J20" s="2"/>
      <c r="K20" s="4"/>
      <c r="L20" s="2"/>
      <c r="M20" s="2"/>
      <c r="N20" s="5">
        <v>0</v>
      </c>
      <c r="O20" s="1">
        <f>B20*0.75</f>
        <v>0</v>
      </c>
      <c r="P20" s="2"/>
      <c r="Q20" s="2"/>
      <c r="R20" s="5">
        <f>O20/O17</f>
        <v>0</v>
      </c>
      <c r="S20" s="2"/>
      <c r="T20" s="2"/>
      <c r="U20" s="2"/>
      <c r="V20" s="2"/>
      <c r="W20" s="2"/>
      <c r="Y20" s="11" t="s">
        <v>162</v>
      </c>
      <c r="Z20" s="12" t="e">
        <f>SUM(Z17:Z19)</f>
        <v>#REF!</v>
      </c>
      <c r="AA20" s="12" t="e">
        <f>SUM(AA17:AA19)</f>
        <v>#REF!</v>
      </c>
    </row>
    <row r="21" spans="1:29" hidden="1" x14ac:dyDescent="0.35">
      <c r="A21" t="s">
        <v>334</v>
      </c>
      <c r="B21" s="1"/>
      <c r="C21" s="5"/>
      <c r="D21" s="1"/>
      <c r="E21" s="1"/>
      <c r="F21" s="1"/>
      <c r="G21"/>
      <c r="H21" s="1">
        <f>H17*U21/U17</f>
        <v>0</v>
      </c>
      <c r="I21" s="5">
        <f>H21/H17</f>
        <v>0</v>
      </c>
      <c r="J21" s="2"/>
      <c r="K21" s="4"/>
      <c r="L21" s="2">
        <v>200</v>
      </c>
      <c r="M21" s="2">
        <f>H21*L21</f>
        <v>0</v>
      </c>
      <c r="N21" s="5">
        <f>M21/M17</f>
        <v>0</v>
      </c>
      <c r="O21" s="2"/>
      <c r="P21" s="2"/>
      <c r="Q21" s="17">
        <f>W21/W17*P17*(L21)</f>
        <v>2331534.0393343419</v>
      </c>
      <c r="R21" s="5">
        <f>Q21/Q17</f>
        <v>4.4276312527008546E-3</v>
      </c>
      <c r="S21" s="5"/>
      <c r="T21" s="2"/>
      <c r="U21" s="2">
        <v>0</v>
      </c>
      <c r="V21" s="2"/>
      <c r="W21" s="2">
        <v>140000000</v>
      </c>
    </row>
    <row r="22" spans="1:29" hidden="1" x14ac:dyDescent="0.35">
      <c r="A22" s="3" t="s">
        <v>162</v>
      </c>
      <c r="B22" s="1"/>
      <c r="C22" s="1"/>
      <c r="D22" s="1"/>
      <c r="E22" s="1"/>
      <c r="F22" s="1"/>
      <c r="G22"/>
      <c r="H22" s="1"/>
      <c r="I22" s="1"/>
      <c r="J22" s="2"/>
      <c r="K22" s="4"/>
      <c r="L22" s="2"/>
      <c r="M22" s="2"/>
      <c r="N22" s="5">
        <f>SUM(N18:N21)</f>
        <v>0.41761945772577441</v>
      </c>
      <c r="O22" s="2"/>
      <c r="P22" s="2"/>
      <c r="Q22" s="2"/>
      <c r="R22" s="5">
        <f>SUM(R18:R21)</f>
        <v>0.26079541702402448</v>
      </c>
      <c r="S22" s="2"/>
      <c r="T22" s="2"/>
      <c r="U22" s="2"/>
      <c r="V22" s="2"/>
      <c r="W22" s="2"/>
    </row>
    <row r="23" spans="1:29" hidden="1" x14ac:dyDescent="0.35">
      <c r="A23"/>
      <c r="B23" s="1"/>
      <c r="C23" s="1"/>
      <c r="D23" s="1"/>
      <c r="E23" s="1"/>
      <c r="F23" s="1"/>
      <c r="G23"/>
      <c r="H23" s="1"/>
      <c r="I23" s="1"/>
      <c r="J23" s="2"/>
      <c r="K23" s="4"/>
      <c r="L23" s="2"/>
      <c r="M23" s="2"/>
      <c r="N23" s="5"/>
      <c r="O23" s="2"/>
      <c r="P23" s="2"/>
      <c r="Q23" s="2"/>
      <c r="R23" s="5"/>
      <c r="S23" s="2"/>
      <c r="T23" s="2"/>
      <c r="U23" s="2"/>
      <c r="V23" s="2"/>
      <c r="W23" s="2"/>
    </row>
    <row r="24" spans="1:29" hidden="1" x14ac:dyDescent="0.35">
      <c r="A24" s="3" t="s">
        <v>335</v>
      </c>
      <c r="H24" s="1">
        <v>120700</v>
      </c>
      <c r="I24" s="1"/>
      <c r="J24" s="2">
        <v>9574.7424143671105</v>
      </c>
      <c r="K24" s="4">
        <f>K10</f>
        <v>0.12</v>
      </c>
      <c r="L24" s="2">
        <f t="shared" ref="L24:L25" si="0">J24*K24</f>
        <v>1148.9690897240532</v>
      </c>
      <c r="M24" s="2">
        <f>H24*L24</f>
        <v>138680569.12969321</v>
      </c>
      <c r="N24" s="2"/>
      <c r="O24" s="2"/>
      <c r="P24" s="2"/>
      <c r="Q24" s="2"/>
      <c r="R24" s="2"/>
      <c r="S24" s="2"/>
      <c r="T24" s="2"/>
      <c r="U24" s="2"/>
      <c r="V24" s="2"/>
      <c r="W24" s="2"/>
    </row>
    <row r="25" spans="1:29" hidden="1" x14ac:dyDescent="0.35">
      <c r="A25" s="3" t="s">
        <v>336</v>
      </c>
      <c r="H25" s="1" t="e">
        <f>#REF!</f>
        <v>#REF!</v>
      </c>
      <c r="I25" s="1"/>
      <c r="J25" s="2">
        <v>8919.9566572185904</v>
      </c>
      <c r="K25" s="4">
        <f>K10</f>
        <v>0.12</v>
      </c>
      <c r="L25" s="2">
        <f t="shared" si="0"/>
        <v>1070.3947988662308</v>
      </c>
      <c r="M25" s="2" t="e">
        <f>H25*L25</f>
        <v>#REF!</v>
      </c>
      <c r="N25" s="2"/>
      <c r="O25" s="2"/>
      <c r="P25" s="2"/>
      <c r="Q25" s="2"/>
      <c r="R25" s="2"/>
      <c r="S25" s="2"/>
      <c r="T25" s="2"/>
      <c r="U25" s="2"/>
      <c r="V25" s="2"/>
      <c r="W25" s="2"/>
    </row>
    <row r="26" spans="1:29" hidden="1" x14ac:dyDescent="0.35"/>
    <row r="27" spans="1:29" ht="29.5" customHeight="1" x14ac:dyDescent="0.35">
      <c r="A27" s="3" t="s">
        <v>337</v>
      </c>
      <c r="B27">
        <v>20</v>
      </c>
      <c r="C27" s="1">
        <v>500</v>
      </c>
      <c r="D27" s="5">
        <v>0.05</v>
      </c>
      <c r="E27" s="16">
        <f>ROUNDUP(C27*(1+D27)^5-C27,0)</f>
        <v>139</v>
      </c>
      <c r="F27" s="5">
        <v>0.05</v>
      </c>
      <c r="G27" s="14">
        <f>ROUNDUP(B27*(1+F27)^5,0)-B27</f>
        <v>6</v>
      </c>
      <c r="H27" s="1">
        <f>(B27)*(C27)</f>
        <v>10000</v>
      </c>
      <c r="I27" s="15">
        <f>B27+G27</f>
        <v>26</v>
      </c>
      <c r="J27" s="2">
        <v>10000</v>
      </c>
      <c r="K27" s="4">
        <f>K10</f>
        <v>0.12</v>
      </c>
      <c r="L27" s="2">
        <f>J27*K27</f>
        <v>1200</v>
      </c>
      <c r="M27" s="2">
        <f>H27*L27</f>
        <v>12000000</v>
      </c>
      <c r="N27" s="2"/>
      <c r="O27" s="19">
        <f>I27</f>
        <v>26</v>
      </c>
      <c r="P27" s="19">
        <f>(C27+E27)*O27</f>
        <v>16614</v>
      </c>
      <c r="Q27" s="2">
        <f>(B27+G27)*(C27+E27)*J27*K27</f>
        <v>19936800</v>
      </c>
      <c r="R27" s="2"/>
      <c r="S27" s="2"/>
      <c r="T27" s="2"/>
      <c r="U27" s="2"/>
      <c r="V27" s="2"/>
      <c r="W27" s="2"/>
      <c r="Y27" s="9"/>
      <c r="Z27" s="10" t="s">
        <v>329</v>
      </c>
      <c r="AA27" s="10" t="s">
        <v>338</v>
      </c>
      <c r="AB27" s="10" t="s">
        <v>330</v>
      </c>
      <c r="AC27" s="64" t="s">
        <v>129</v>
      </c>
    </row>
    <row r="28" spans="1:29" x14ac:dyDescent="0.35">
      <c r="A28" t="s">
        <v>331</v>
      </c>
      <c r="H28" s="1">
        <f>H27*0.6</f>
        <v>6000</v>
      </c>
      <c r="L28" s="2">
        <v>300</v>
      </c>
      <c r="M28" s="2">
        <f>H28*L28</f>
        <v>1800000</v>
      </c>
      <c r="N28" s="5">
        <f>M28/M27</f>
        <v>0.15</v>
      </c>
      <c r="O28" s="5"/>
      <c r="P28" s="1"/>
      <c r="Q28" s="2">
        <f>M28</f>
        <v>1800000</v>
      </c>
      <c r="R28" s="5">
        <f>Q28/Q27</f>
        <v>9.0285301552907191E-2</v>
      </c>
      <c r="S28" s="5"/>
      <c r="T28" s="5"/>
      <c r="U28" s="5"/>
      <c r="V28" s="5"/>
      <c r="W28" s="5"/>
      <c r="Y28" s="11" t="s">
        <v>80</v>
      </c>
      <c r="Z28" s="12">
        <f>Z48</f>
        <v>0.30724602920693422</v>
      </c>
      <c r="AA28" s="12">
        <f>AA48</f>
        <v>0.24440464823899297</v>
      </c>
      <c r="AB28" s="12">
        <f>AB48</f>
        <v>0.24440464823899294</v>
      </c>
      <c r="AC28" s="12">
        <f>AC48</f>
        <v>0.24440464823899297</v>
      </c>
    </row>
    <row r="29" spans="1:29" x14ac:dyDescent="0.35">
      <c r="A29" t="s">
        <v>333</v>
      </c>
      <c r="B29">
        <v>5</v>
      </c>
      <c r="C29">
        <v>500</v>
      </c>
      <c r="D29"/>
      <c r="H29" s="1">
        <f>B29*C29</f>
        <v>2500</v>
      </c>
      <c r="L29" s="2"/>
      <c r="M29" s="2"/>
      <c r="N29" s="5">
        <f>B29/B27</f>
        <v>0.25</v>
      </c>
      <c r="O29" s="18">
        <f>ROUND(B29*0.75+G27*0.25,0)</f>
        <v>5</v>
      </c>
      <c r="P29" s="5"/>
      <c r="Q29" s="5"/>
      <c r="R29" s="5">
        <f>O29/O27</f>
        <v>0.19230769230769232</v>
      </c>
      <c r="S29" s="5"/>
      <c r="T29" s="5"/>
      <c r="U29" s="5"/>
      <c r="V29" s="5"/>
      <c r="W29" s="5"/>
      <c r="Y29" s="11" t="s">
        <v>102</v>
      </c>
      <c r="Z29" s="12">
        <f t="shared" ref="Z29:AA29" si="1">Z49</f>
        <v>6.8027210884353734E-2</v>
      </c>
      <c r="AA29" s="12">
        <f t="shared" si="1"/>
        <v>9.9682814392050803E-2</v>
      </c>
      <c r="AB29" s="12">
        <f t="shared" ref="AB29:AC29" si="2">AB49</f>
        <v>7.0821657661019013E-2</v>
      </c>
      <c r="AC29" s="12">
        <f t="shared" si="2"/>
        <v>9.9682814392050803E-2</v>
      </c>
    </row>
    <row r="30" spans="1:29" x14ac:dyDescent="0.35">
      <c r="A30" t="s">
        <v>334</v>
      </c>
      <c r="B30">
        <v>5</v>
      </c>
      <c r="C30" s="1">
        <v>500</v>
      </c>
      <c r="D30" s="1"/>
      <c r="H30" s="1">
        <f>B30*C30</f>
        <v>2500</v>
      </c>
      <c r="L30" s="2">
        <v>200</v>
      </c>
      <c r="M30" s="2">
        <f>H30*L30</f>
        <v>500000</v>
      </c>
      <c r="N30" s="5">
        <f>M30/M27</f>
        <v>4.1666666666666664E-2</v>
      </c>
      <c r="O30" s="13">
        <v>6</v>
      </c>
      <c r="P30" s="4"/>
      <c r="Q30" s="2">
        <f>O30*300*(C27+E27)</f>
        <v>1150200</v>
      </c>
      <c r="R30" s="5">
        <f>Q30/Q27</f>
        <v>5.7692307692307696E-2</v>
      </c>
      <c r="S30" s="5"/>
      <c r="T30" s="5"/>
      <c r="U30" s="5"/>
      <c r="V30" s="5"/>
      <c r="W30" s="5"/>
      <c r="Y30" s="11" t="s">
        <v>112</v>
      </c>
      <c r="Z30" s="12">
        <f t="shared" ref="Z30:AA30" si="3">Z50</f>
        <v>2.3333796449890719E-2</v>
      </c>
      <c r="AA30" s="12">
        <f t="shared" si="3"/>
        <v>1.3558753021013023E-2</v>
      </c>
      <c r="AB30" s="12">
        <f t="shared" ref="AB30:AC30" si="4">AB50</f>
        <v>0</v>
      </c>
      <c r="AC30" s="12">
        <f t="shared" si="4"/>
        <v>1.3558753021013023E-2</v>
      </c>
    </row>
    <row r="31" spans="1:29" x14ac:dyDescent="0.35">
      <c r="A31" s="3" t="s">
        <v>162</v>
      </c>
      <c r="B31"/>
      <c r="C31" s="1"/>
      <c r="D31" s="1"/>
      <c r="H31" s="1"/>
      <c r="L31" s="2"/>
      <c r="M31" s="2"/>
      <c r="N31" s="5">
        <f>SUM(N28:N30)</f>
        <v>0.44166666666666671</v>
      </c>
      <c r="O31" s="4"/>
      <c r="P31" s="4"/>
      <c r="Q31" s="4"/>
      <c r="R31" s="5">
        <f>SUM(R28:R30)</f>
        <v>0.3402853015529072</v>
      </c>
      <c r="S31" s="5"/>
      <c r="T31" s="5"/>
      <c r="U31" s="5"/>
      <c r="V31" s="5"/>
      <c r="W31" s="5"/>
      <c r="Y31" s="11" t="s">
        <v>162</v>
      </c>
      <c r="Z31" s="12">
        <f>SUM(Z28:Z30)</f>
        <v>0.39860703654117863</v>
      </c>
      <c r="AA31" s="12">
        <f>SUM(AA28:AA30)</f>
        <v>0.35764621565205679</v>
      </c>
      <c r="AB31" s="12">
        <f>SUM(AB28:AB30)</f>
        <v>0.31522630590001194</v>
      </c>
      <c r="AC31" s="12">
        <f>SUM(AC28:AC30)</f>
        <v>0.35764621565205679</v>
      </c>
    </row>
    <row r="32" spans="1:29" x14ac:dyDescent="0.35">
      <c r="B32"/>
      <c r="C32" s="1"/>
      <c r="D32" s="1"/>
      <c r="H32" s="1"/>
      <c r="L32" s="2"/>
      <c r="M32" s="2"/>
      <c r="N32" s="5"/>
      <c r="O32" s="4"/>
      <c r="P32" s="4"/>
      <c r="Q32" s="4"/>
      <c r="R32" s="5"/>
      <c r="S32" s="5"/>
      <c r="T32" s="5"/>
      <c r="U32" s="5"/>
      <c r="V32" s="5"/>
      <c r="W32" s="5"/>
    </row>
    <row r="33" spans="1:29" hidden="1" x14ac:dyDescent="0.35">
      <c r="N33" s="5"/>
      <c r="R33" s="5"/>
      <c r="S33" s="5"/>
      <c r="T33" s="5"/>
      <c r="U33" s="5"/>
      <c r="V33" s="5"/>
      <c r="W33" s="5"/>
    </row>
    <row r="34" spans="1:29" hidden="1" x14ac:dyDescent="0.35">
      <c r="A34" s="3" t="s">
        <v>335</v>
      </c>
      <c r="J34" t="s">
        <v>339</v>
      </c>
      <c r="M34" s="2">
        <v>29250000</v>
      </c>
      <c r="N34" s="2"/>
      <c r="O34" s="2"/>
      <c r="P34" s="2"/>
      <c r="Q34" s="2"/>
      <c r="R34" s="2"/>
      <c r="S34" s="2"/>
      <c r="T34" s="2"/>
      <c r="U34" s="2"/>
      <c r="V34" s="2"/>
      <c r="W34" s="2"/>
    </row>
    <row r="35" spans="1:29" hidden="1" x14ac:dyDescent="0.35">
      <c r="J35" t="s">
        <v>340</v>
      </c>
      <c r="M35" s="2">
        <v>25000000</v>
      </c>
      <c r="N35" s="2"/>
      <c r="O35" s="2"/>
      <c r="P35" s="2"/>
      <c r="Q35" s="2"/>
      <c r="R35" s="2"/>
      <c r="S35" s="2"/>
      <c r="T35" s="2"/>
      <c r="U35" s="2"/>
      <c r="V35" s="2"/>
      <c r="W35" s="2"/>
    </row>
    <row r="36" spans="1:29" hidden="1" x14ac:dyDescent="0.35">
      <c r="M36" s="2"/>
      <c r="N36" s="2"/>
      <c r="O36" s="2"/>
      <c r="P36" s="2"/>
      <c r="Q36" s="2"/>
      <c r="R36" s="2"/>
      <c r="S36" s="2"/>
      <c r="T36" s="2"/>
      <c r="U36" s="2"/>
      <c r="V36" s="2"/>
      <c r="W36" s="2"/>
    </row>
    <row r="37" spans="1:29" hidden="1" x14ac:dyDescent="0.35">
      <c r="M37" s="2"/>
      <c r="N37" s="2"/>
      <c r="O37" s="2"/>
      <c r="P37" s="2"/>
      <c r="Q37" s="2"/>
      <c r="R37" s="2"/>
      <c r="S37" s="2"/>
      <c r="T37" s="2"/>
      <c r="U37" s="2"/>
      <c r="V37" s="2"/>
      <c r="W37" s="2"/>
    </row>
    <row r="38" spans="1:29" s="3" customFormat="1" ht="29.25" hidden="1" customHeight="1" x14ac:dyDescent="0.35">
      <c r="A38" s="3" t="s">
        <v>307</v>
      </c>
      <c r="B38" s="6" t="s">
        <v>308</v>
      </c>
      <c r="C38" s="6" t="s">
        <v>309</v>
      </c>
      <c r="D38" s="6" t="s">
        <v>310</v>
      </c>
      <c r="E38" s="3" t="s">
        <v>311</v>
      </c>
      <c r="F38" s="6" t="s">
        <v>312</v>
      </c>
      <c r="G38" s="6" t="s">
        <v>52</v>
      </c>
      <c r="H38" s="6" t="s">
        <v>313</v>
      </c>
      <c r="I38" s="6" t="s">
        <v>314</v>
      </c>
      <c r="J38" s="6" t="s">
        <v>315</v>
      </c>
      <c r="K38" s="6" t="s">
        <v>316</v>
      </c>
      <c r="L38" s="6" t="s">
        <v>317</v>
      </c>
      <c r="M38" s="6" t="s">
        <v>318</v>
      </c>
      <c r="N38" s="6" t="s">
        <v>319</v>
      </c>
      <c r="O38" s="7" t="s">
        <v>320</v>
      </c>
      <c r="P38" s="7" t="s">
        <v>321</v>
      </c>
      <c r="Q38" s="6" t="s">
        <v>322</v>
      </c>
      <c r="R38" s="7" t="s">
        <v>323</v>
      </c>
      <c r="S38" s="6" t="s">
        <v>324</v>
      </c>
      <c r="T38" s="6" t="s">
        <v>325</v>
      </c>
      <c r="U38" s="6" t="s">
        <v>326</v>
      </c>
      <c r="V38" s="6" t="s">
        <v>327</v>
      </c>
      <c r="W38" s="6" t="s">
        <v>328</v>
      </c>
      <c r="Y38" s="9"/>
      <c r="Z38" s="10" t="s">
        <v>329</v>
      </c>
      <c r="AA38" s="10" t="s">
        <v>330</v>
      </c>
      <c r="AC38" s="62"/>
    </row>
    <row r="39" spans="1:29" hidden="1" x14ac:dyDescent="0.35">
      <c r="A39" s="3" t="s">
        <v>341</v>
      </c>
      <c r="B39" s="1">
        <v>103</v>
      </c>
      <c r="C39" s="1">
        <f>H39/B39</f>
        <v>496.81553398058253</v>
      </c>
      <c r="D39" s="5">
        <f>D27</f>
        <v>0.05</v>
      </c>
      <c r="E39" s="1">
        <f>ROUND(C39*(1+D39)^5-C39,0)</f>
        <v>137</v>
      </c>
      <c r="F39" s="5">
        <f>F27</f>
        <v>0.05</v>
      </c>
      <c r="G39" s="1">
        <f>ROUND((B39*(1+F39)^5-B39),0)</f>
        <v>28</v>
      </c>
      <c r="H39" s="1">
        <v>51172</v>
      </c>
      <c r="I39" s="1">
        <f>B39+G39</f>
        <v>131</v>
      </c>
      <c r="J39" s="2">
        <v>10045</v>
      </c>
      <c r="K39" s="4">
        <v>0.12</v>
      </c>
      <c r="L39" s="2">
        <f>J39*K39</f>
        <v>1205.3999999999999</v>
      </c>
      <c r="M39" s="2">
        <f>H39*L39</f>
        <v>61682728.79999999</v>
      </c>
      <c r="N39" s="2"/>
      <c r="O39" s="19">
        <f>I39</f>
        <v>131</v>
      </c>
      <c r="P39" s="8">
        <f>(C39+E39)*O39</f>
        <v>83029.834951456316</v>
      </c>
      <c r="Q39" s="2">
        <f>(B39+G39)*(C39+E39)*J39*K39</f>
        <v>100084163.05048545</v>
      </c>
      <c r="R39" s="2"/>
      <c r="S39" s="1">
        <f>B39</f>
        <v>103</v>
      </c>
      <c r="T39" s="2">
        <v>7000000</v>
      </c>
      <c r="U39" s="2">
        <f>S39*T39</f>
        <v>721000000</v>
      </c>
      <c r="V39" s="1">
        <f>O39</f>
        <v>131</v>
      </c>
      <c r="W39" s="2">
        <f>V39*(T39+2000000)</f>
        <v>1179000000</v>
      </c>
      <c r="Y39" s="11" t="s">
        <v>80</v>
      </c>
      <c r="Z39" s="12" t="e">
        <f>'Data Details'!#REF!</f>
        <v>#REF!</v>
      </c>
      <c r="AA39" s="12" t="e">
        <f>'Data Details'!#REF!</f>
        <v>#REF!</v>
      </c>
    </row>
    <row r="40" spans="1:29" hidden="1" x14ac:dyDescent="0.35">
      <c r="A40" t="s">
        <v>331</v>
      </c>
      <c r="B40" s="1">
        <v>750</v>
      </c>
      <c r="C40" s="5">
        <f>B40/B39</f>
        <v>7.2815533980582527</v>
      </c>
      <c r="D40" s="5"/>
      <c r="E40" s="1"/>
      <c r="F40" s="1"/>
      <c r="G40"/>
      <c r="H40" s="1">
        <f>B40*C39</f>
        <v>372611.6504854369</v>
      </c>
      <c r="I40" s="1"/>
      <c r="J40" s="2"/>
      <c r="K40" s="4"/>
      <c r="L40" s="2">
        <v>1147</v>
      </c>
      <c r="M40" s="2">
        <f>B40/B39*H39*L40</f>
        <v>427385563.10679615</v>
      </c>
      <c r="N40" s="5">
        <f>M40/M39</f>
        <v>6.928771982389927</v>
      </c>
      <c r="O40" s="2"/>
      <c r="P40" s="2"/>
      <c r="Q40" s="2">
        <f>M40*1.5</f>
        <v>641078344.66019416</v>
      </c>
      <c r="R40" s="5">
        <f>Q40/Q39</f>
        <v>6.4053924729011831</v>
      </c>
      <c r="S40" s="2"/>
      <c r="T40" s="2"/>
      <c r="U40" s="2"/>
      <c r="V40" s="2"/>
      <c r="W40" s="2"/>
      <c r="Y40" s="11" t="s">
        <v>102</v>
      </c>
      <c r="Z40" s="12" t="e">
        <f>'Data Details'!#REF!</f>
        <v>#REF!</v>
      </c>
      <c r="AA40" s="12" t="e">
        <f>'Data Details'!#REF!</f>
        <v>#REF!</v>
      </c>
    </row>
    <row r="41" spans="1:29" hidden="1" x14ac:dyDescent="0.35">
      <c r="A41" s="3" t="s">
        <v>332</v>
      </c>
      <c r="B41" s="1">
        <f>B39*N41</f>
        <v>200</v>
      </c>
      <c r="C41" s="1"/>
      <c r="D41" s="1"/>
      <c r="E41" s="1"/>
      <c r="F41" s="1"/>
      <c r="G41"/>
      <c r="H41" s="1">
        <f>B41*C39</f>
        <v>99363.10679611651</v>
      </c>
      <c r="I41" s="1"/>
      <c r="J41" s="2"/>
      <c r="K41" s="4"/>
      <c r="L41" s="2"/>
      <c r="M41" s="2"/>
      <c r="N41" s="5">
        <f>U41/U39</f>
        <v>1.941747572815534</v>
      </c>
      <c r="O41" s="2"/>
      <c r="P41" s="2"/>
      <c r="Q41" s="2"/>
      <c r="R41" s="5">
        <f>W41/W39</f>
        <v>1.1874469889737065</v>
      </c>
      <c r="S41" s="5"/>
      <c r="T41" s="2"/>
      <c r="U41" s="2">
        <v>1400000000</v>
      </c>
      <c r="V41" s="2"/>
      <c r="W41" s="2">
        <f>U41</f>
        <v>1400000000</v>
      </c>
      <c r="Y41" s="11" t="s">
        <v>112</v>
      </c>
      <c r="Z41" s="12" t="e">
        <f>'Data Details'!#REF!</f>
        <v>#REF!</v>
      </c>
      <c r="AA41" s="12" t="e">
        <f>'Data Details'!#REF!</f>
        <v>#REF!</v>
      </c>
    </row>
    <row r="42" spans="1:29" hidden="1" x14ac:dyDescent="0.35">
      <c r="A42" t="s">
        <v>333</v>
      </c>
      <c r="B42" s="1">
        <f>N42*B39</f>
        <v>44.908000000000001</v>
      </c>
      <c r="C42" s="1"/>
      <c r="D42" s="1"/>
      <c r="E42" s="1"/>
      <c r="F42" s="1"/>
      <c r="G42"/>
      <c r="H42" s="1">
        <f>B42*C39</f>
        <v>22310.992000000002</v>
      </c>
      <c r="I42" s="1"/>
      <c r="J42" s="2"/>
      <c r="K42" s="4"/>
      <c r="L42" s="2"/>
      <c r="M42" s="2"/>
      <c r="N42" s="5">
        <v>0.436</v>
      </c>
      <c r="O42" s="16">
        <f>ROUND(B42*0.75+E39*0.25,0)</f>
        <v>68</v>
      </c>
      <c r="P42" s="2"/>
      <c r="Q42" s="2"/>
      <c r="R42" s="5">
        <f>O42/O39</f>
        <v>0.51908396946564883</v>
      </c>
      <c r="S42" s="2"/>
      <c r="T42" s="2"/>
      <c r="U42" s="2"/>
      <c r="V42" s="2"/>
      <c r="W42" s="2"/>
      <c r="Y42" s="11" t="s">
        <v>162</v>
      </c>
      <c r="Z42" s="12" t="e">
        <f>SUM(Z39:Z41)</f>
        <v>#REF!</v>
      </c>
      <c r="AA42" s="12" t="e">
        <f>SUM(AA39:AA41)</f>
        <v>#REF!</v>
      </c>
    </row>
    <row r="43" spans="1:29" hidden="1" x14ac:dyDescent="0.35">
      <c r="A43" t="s">
        <v>334</v>
      </c>
      <c r="B43" s="1"/>
      <c r="C43" s="1"/>
      <c r="D43" s="1"/>
      <c r="E43" s="1"/>
      <c r="F43" s="1"/>
      <c r="G43"/>
      <c r="H43" s="1"/>
      <c r="I43" s="1"/>
      <c r="J43" s="2"/>
      <c r="K43" s="4"/>
      <c r="L43" s="2"/>
      <c r="M43" s="2"/>
      <c r="N43" s="5">
        <v>0</v>
      </c>
      <c r="O43" s="2"/>
      <c r="P43" s="2"/>
      <c r="Q43" s="2"/>
      <c r="R43" s="5">
        <v>0</v>
      </c>
      <c r="S43" s="2"/>
      <c r="T43" s="2"/>
      <c r="U43" s="2"/>
      <c r="V43" s="2"/>
      <c r="W43" s="2"/>
    </row>
    <row r="44" spans="1:29" hidden="1" x14ac:dyDescent="0.35">
      <c r="A44" s="3" t="s">
        <v>162</v>
      </c>
      <c r="B44" s="1"/>
      <c r="C44" s="1"/>
      <c r="D44" s="1"/>
      <c r="E44" s="1"/>
      <c r="F44" s="1"/>
      <c r="G44"/>
      <c r="H44" s="1"/>
      <c r="I44" s="1"/>
      <c r="J44" s="2"/>
      <c r="K44" s="4"/>
      <c r="L44" s="2"/>
      <c r="M44" s="2"/>
      <c r="N44" s="5">
        <f>SUM(N40:N43)</f>
        <v>9.3065195552054618</v>
      </c>
      <c r="O44" s="2"/>
      <c r="P44" s="2"/>
      <c r="Q44" s="2"/>
      <c r="R44" s="5">
        <f>SUM(R40:R43)</f>
        <v>8.1119234313405393</v>
      </c>
      <c r="S44" s="2"/>
      <c r="T44" s="2"/>
      <c r="U44" s="2"/>
      <c r="V44" s="2"/>
      <c r="W44" s="2"/>
      <c r="Y44" s="3" t="s">
        <v>335</v>
      </c>
    </row>
    <row r="45" spans="1:29" ht="29" hidden="1" x14ac:dyDescent="0.35">
      <c r="A45"/>
      <c r="B45" s="1"/>
      <c r="C45" s="1"/>
      <c r="D45" s="1"/>
      <c r="E45" s="1"/>
      <c r="F45" s="1"/>
      <c r="G45"/>
      <c r="H45" s="1"/>
      <c r="I45" s="1"/>
      <c r="J45" s="2"/>
      <c r="K45" s="4"/>
      <c r="L45" s="2"/>
      <c r="M45" s="2"/>
      <c r="N45" s="5"/>
      <c r="O45" s="2"/>
      <c r="P45" s="2"/>
      <c r="Q45" s="2"/>
      <c r="R45" s="5"/>
      <c r="S45" s="2"/>
      <c r="T45" s="2"/>
      <c r="U45" s="2"/>
      <c r="V45" s="2"/>
      <c r="W45" s="2"/>
      <c r="Y45" s="9"/>
      <c r="Z45" s="10" t="s">
        <v>329</v>
      </c>
      <c r="AA45" s="10" t="s">
        <v>330</v>
      </c>
    </row>
    <row r="46" spans="1:29" hidden="1" x14ac:dyDescent="0.35"/>
    <row r="47" spans="1:29" ht="29" x14ac:dyDescent="0.35">
      <c r="Y47" s="9"/>
      <c r="Z47" s="10" t="s">
        <v>329</v>
      </c>
      <c r="AA47" s="10" t="s">
        <v>338</v>
      </c>
      <c r="AB47" s="10" t="s">
        <v>52</v>
      </c>
      <c r="AC47" s="63" t="str">
        <f>AC27</f>
        <v>Revised
Policy</v>
      </c>
    </row>
    <row r="48" spans="1:29" x14ac:dyDescent="0.35">
      <c r="Y48" s="11" t="s">
        <v>80</v>
      </c>
      <c r="Z48" s="12">
        <f>'Data Details'!E54</f>
        <v>0.30724602920693422</v>
      </c>
      <c r="AA48" s="12">
        <f>'Data Details'!G54</f>
        <v>0.24440464823899297</v>
      </c>
      <c r="AB48" s="12">
        <f>'Data Details'!I54</f>
        <v>0.24440464823899294</v>
      </c>
      <c r="AC48" s="12">
        <f>'Data Details'!L54</f>
        <v>0.24440464823899297</v>
      </c>
    </row>
    <row r="49" spans="25:29" x14ac:dyDescent="0.35">
      <c r="Y49" s="11" t="s">
        <v>102</v>
      </c>
      <c r="Z49" s="12">
        <f>'Data Details'!E66</f>
        <v>6.8027210884353734E-2</v>
      </c>
      <c r="AA49" s="12">
        <f>'Data Details'!G65</f>
        <v>9.9682814392050803E-2</v>
      </c>
      <c r="AB49" s="12">
        <f>'Data Details'!I66</f>
        <v>7.0821657661019013E-2</v>
      </c>
      <c r="AC49" s="12">
        <f>'Data Details'!L66</f>
        <v>9.9682814392050803E-2</v>
      </c>
    </row>
    <row r="50" spans="25:29" x14ac:dyDescent="0.35">
      <c r="Y50" s="11" t="s">
        <v>112</v>
      </c>
      <c r="Z50" s="12">
        <f>'Data Details'!E77</f>
        <v>2.3333796449890719E-2</v>
      </c>
      <c r="AA50" s="12">
        <f>'Data Details'!G78</f>
        <v>1.3558753021013023E-2</v>
      </c>
      <c r="AB50" s="12">
        <f>'Data Details'!I78</f>
        <v>0</v>
      </c>
      <c r="AC50" s="12">
        <f>'Data Details'!L78</f>
        <v>1.3558753021013023E-2</v>
      </c>
    </row>
    <row r="51" spans="25:29" x14ac:dyDescent="0.35">
      <c r="Y51" s="11" t="s">
        <v>162</v>
      </c>
      <c r="Z51" s="12">
        <f>SUM(Z48:Z50)</f>
        <v>0.39860703654117863</v>
      </c>
      <c r="AA51" s="12">
        <f>SUM(AA48:AA50)</f>
        <v>0.35764621565205679</v>
      </c>
      <c r="AB51" s="12">
        <f>SUM(AB48:AB50)</f>
        <v>0.31522630590001194</v>
      </c>
      <c r="AC51" s="12">
        <f>SUM(AC48:AC50)</f>
        <v>0.35764621565205679</v>
      </c>
    </row>
  </sheetData>
  <pageMargins left="0.7" right="0.7" top="0.75" bottom="0.75" header="0.3" footer="0.3"/>
  <pageSetup orientation="portrait" r:id="rId1"/>
  <ignoredErrors>
    <ignoredError sqref="E39" 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346E3-35B8-4071-93F1-D7FB74C6DFA4}">
  <dimension ref="A1:AO114"/>
  <sheetViews>
    <sheetView topLeftCell="A25" zoomScale="70" zoomScaleNormal="70" workbookViewId="0">
      <selection activeCell="C2" sqref="C2"/>
    </sheetView>
  </sheetViews>
  <sheetFormatPr defaultColWidth="8.81640625" defaultRowHeight="14.5" x14ac:dyDescent="0.35"/>
  <cols>
    <col min="1" max="2" width="5.26953125" customWidth="1"/>
    <col min="3" max="4" width="36.453125" customWidth="1"/>
    <col min="5" max="5" width="38" customWidth="1"/>
    <col min="6" max="6" width="14.453125" bestFit="1" customWidth="1"/>
    <col min="7" max="7" width="14.453125" customWidth="1"/>
  </cols>
  <sheetData>
    <row r="1" spans="1:41" ht="16.5" customHeight="1" x14ac:dyDescent="0.3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row>
    <row r="2" spans="1:41" ht="16.5" customHeight="1" x14ac:dyDescent="0.35">
      <c r="A2" s="80"/>
      <c r="B2" s="78"/>
      <c r="C2" s="89" t="s">
        <v>10</v>
      </c>
      <c r="D2" s="89"/>
      <c r="E2" s="90"/>
      <c r="F2" s="90"/>
      <c r="G2" s="90"/>
      <c r="H2" s="91"/>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row>
    <row r="3" spans="1:41" ht="24" customHeight="1" x14ac:dyDescent="0.35">
      <c r="A3" s="80"/>
      <c r="B3" s="79"/>
      <c r="C3" s="242" t="s">
        <v>342</v>
      </c>
      <c r="D3" s="242"/>
      <c r="E3" s="242"/>
      <c r="F3" s="92"/>
      <c r="G3" s="92"/>
      <c r="H3" s="93"/>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row>
    <row r="4" spans="1:41" ht="35.25" customHeight="1" x14ac:dyDescent="0.35">
      <c r="A4" s="80"/>
      <c r="B4" s="79"/>
      <c r="C4" s="242"/>
      <c r="D4" s="242"/>
      <c r="E4" s="242"/>
      <c r="F4" s="92"/>
      <c r="G4" s="92"/>
      <c r="H4" s="93"/>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1" ht="16.5" customHeight="1" x14ac:dyDescent="0.35">
      <c r="A5" s="80"/>
      <c r="B5" s="79"/>
      <c r="C5" s="110" t="s">
        <v>343</v>
      </c>
      <c r="D5" s="110" t="s">
        <v>13</v>
      </c>
      <c r="E5" s="110" t="s">
        <v>344</v>
      </c>
      <c r="F5" s="110" t="s">
        <v>15</v>
      </c>
      <c r="G5" s="112" t="s">
        <v>345</v>
      </c>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row>
    <row r="6" spans="1:41" ht="16.5" customHeight="1" x14ac:dyDescent="0.35">
      <c r="A6" s="80"/>
      <c r="B6" s="79"/>
      <c r="C6" s="94" t="s">
        <v>346</v>
      </c>
      <c r="D6" s="94" t="s">
        <v>347</v>
      </c>
      <c r="E6" s="94" t="s">
        <v>18</v>
      </c>
      <c r="F6" s="106" t="s">
        <v>18</v>
      </c>
      <c r="G6" s="112"/>
      <c r="H6" s="93"/>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row>
    <row r="7" spans="1:41" ht="25.5" customHeight="1" x14ac:dyDescent="0.35">
      <c r="A7" s="80"/>
      <c r="B7" s="79"/>
      <c r="C7" s="82" t="s">
        <v>348</v>
      </c>
      <c r="D7" s="82"/>
      <c r="E7" s="95">
        <v>0.25</v>
      </c>
      <c r="F7" s="107">
        <v>0.35</v>
      </c>
      <c r="G7" s="113"/>
      <c r="H7" s="93"/>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row>
    <row r="8" spans="1:41" ht="32.25" customHeight="1" x14ac:dyDescent="0.35">
      <c r="A8" s="80"/>
      <c r="B8" s="79"/>
      <c r="C8" s="105" t="s">
        <v>74</v>
      </c>
      <c r="D8" s="105"/>
      <c r="E8" s="96">
        <v>16000</v>
      </c>
      <c r="F8" s="108">
        <v>16000</v>
      </c>
      <c r="G8" s="114"/>
      <c r="H8" s="93"/>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row>
    <row r="9" spans="1:41" ht="27" customHeight="1" x14ac:dyDescent="0.35">
      <c r="A9" s="80"/>
      <c r="B9" s="79"/>
      <c r="C9" s="82" t="s">
        <v>349</v>
      </c>
      <c r="D9" s="82"/>
      <c r="E9" s="96">
        <v>750</v>
      </c>
      <c r="F9" s="108">
        <v>750</v>
      </c>
      <c r="G9" s="114"/>
      <c r="H9" s="93"/>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row>
    <row r="10" spans="1:41" ht="16.5" customHeight="1" x14ac:dyDescent="0.35">
      <c r="A10" s="80"/>
      <c r="B10" s="79"/>
      <c r="C10" s="83" t="s">
        <v>350</v>
      </c>
      <c r="D10" s="83"/>
      <c r="E10" s="96">
        <v>0</v>
      </c>
      <c r="F10" s="109">
        <v>10000000</v>
      </c>
      <c r="G10" s="115"/>
      <c r="H10" s="93"/>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row>
    <row r="11" spans="1:41" ht="36.75" customHeight="1" x14ac:dyDescent="0.35">
      <c r="A11" s="80"/>
      <c r="B11" s="79"/>
      <c r="C11" s="111" t="s">
        <v>351</v>
      </c>
      <c r="D11" s="111"/>
      <c r="E11" s="12">
        <f>'Data Details'!K50</f>
        <v>5.395288829968399E-2</v>
      </c>
      <c r="F11" s="109"/>
      <c r="G11" s="115"/>
      <c r="H11" s="93"/>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row>
    <row r="12" spans="1:41" ht="33" customHeight="1" x14ac:dyDescent="0.35">
      <c r="A12" s="80"/>
      <c r="B12" s="79"/>
      <c r="C12" s="84" t="s">
        <v>352</v>
      </c>
      <c r="D12" s="84"/>
      <c r="E12" s="95">
        <v>0</v>
      </c>
      <c r="F12" s="107">
        <v>0.04</v>
      </c>
      <c r="G12" s="113"/>
      <c r="H12" s="93"/>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row>
    <row r="13" spans="1:41" ht="30" customHeight="1" x14ac:dyDescent="0.35">
      <c r="A13" s="80"/>
      <c r="B13" s="79"/>
      <c r="C13" s="82" t="s">
        <v>353</v>
      </c>
      <c r="D13" s="82"/>
      <c r="E13" s="94">
        <v>3</v>
      </c>
      <c r="F13" s="106">
        <v>3</v>
      </c>
      <c r="G13" s="112"/>
      <c r="H13" s="93"/>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row>
    <row r="14" spans="1:41" ht="26" x14ac:dyDescent="0.35">
      <c r="A14" s="80"/>
      <c r="B14" s="79"/>
      <c r="C14" s="82" t="s">
        <v>354</v>
      </c>
      <c r="D14" s="82"/>
      <c r="E14" s="94">
        <v>3</v>
      </c>
      <c r="F14" s="106">
        <v>3</v>
      </c>
      <c r="G14" s="112"/>
      <c r="H14" s="93"/>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row>
    <row r="15" spans="1:41" ht="26" x14ac:dyDescent="0.35">
      <c r="A15" s="80"/>
      <c r="B15" s="79"/>
      <c r="C15" s="82" t="s">
        <v>355</v>
      </c>
      <c r="D15" s="82"/>
      <c r="E15" s="96">
        <v>45000000</v>
      </c>
      <c r="F15" s="108">
        <v>450000000</v>
      </c>
      <c r="G15" s="114"/>
      <c r="H15" s="93"/>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row>
    <row r="16" spans="1:41" x14ac:dyDescent="0.35">
      <c r="A16" s="80"/>
      <c r="B16" s="79"/>
      <c r="C16" s="80" t="s">
        <v>356</v>
      </c>
      <c r="D16" s="80"/>
      <c r="E16" s="80"/>
      <c r="F16" s="80"/>
      <c r="G16" s="80"/>
      <c r="H16" s="81"/>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row>
    <row r="17" spans="1:41" x14ac:dyDescent="0.35">
      <c r="A17" s="80"/>
      <c r="B17" s="79"/>
      <c r="C17" s="86" t="s">
        <v>357</v>
      </c>
      <c r="D17" s="97"/>
      <c r="E17" s="80"/>
      <c r="F17" s="80"/>
      <c r="G17" s="80"/>
      <c r="H17" s="81"/>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row>
    <row r="18" spans="1:41" x14ac:dyDescent="0.35">
      <c r="A18" s="80"/>
      <c r="B18" s="85"/>
      <c r="E18" s="86"/>
      <c r="F18" s="86"/>
      <c r="G18" s="86"/>
      <c r="H18" s="87"/>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row>
    <row r="19" spans="1:41" x14ac:dyDescent="0.35">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row>
    <row r="20" spans="1:41" x14ac:dyDescent="0.3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row>
    <row r="21" spans="1:41" x14ac:dyDescent="0.35">
      <c r="A21" s="80"/>
      <c r="B21" s="97"/>
      <c r="C21" s="98"/>
      <c r="D21" s="98"/>
      <c r="E21" s="97"/>
      <c r="F21" s="97"/>
      <c r="G21" s="97"/>
      <c r="H21" s="97"/>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row>
    <row r="22" spans="1:41" x14ac:dyDescent="0.35">
      <c r="A22" s="80"/>
      <c r="B22" s="97"/>
      <c r="C22" s="243"/>
      <c r="D22" s="243"/>
      <c r="E22" s="243"/>
      <c r="F22" s="97"/>
      <c r="G22" s="97"/>
      <c r="H22" s="97"/>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row>
    <row r="23" spans="1:41" x14ac:dyDescent="0.35">
      <c r="A23" s="80"/>
      <c r="B23" s="97"/>
      <c r="C23" s="243"/>
      <c r="D23" s="243"/>
      <c r="E23" s="243"/>
      <c r="F23" s="97"/>
      <c r="G23" s="97"/>
      <c r="H23" s="97"/>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row>
    <row r="24" spans="1:41" x14ac:dyDescent="0.35">
      <c r="A24" s="80"/>
      <c r="B24" s="97"/>
      <c r="C24" s="98"/>
      <c r="D24" s="98"/>
      <c r="E24" s="98"/>
      <c r="F24" s="98"/>
      <c r="G24" s="98"/>
      <c r="H24" s="97"/>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row>
    <row r="25" spans="1:41" x14ac:dyDescent="0.35">
      <c r="A25" s="80"/>
      <c r="B25" s="97"/>
      <c r="C25" s="99"/>
      <c r="D25" s="99"/>
      <c r="E25" s="100"/>
      <c r="F25" s="100"/>
      <c r="G25" s="100"/>
      <c r="H25" s="97"/>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row>
    <row r="26" spans="1:41" x14ac:dyDescent="0.35">
      <c r="A26" s="80"/>
      <c r="B26" s="97"/>
      <c r="C26" s="101"/>
      <c r="D26" s="101"/>
      <c r="E26" s="100"/>
      <c r="F26" s="102"/>
      <c r="G26" s="102"/>
      <c r="H26" s="97"/>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row>
    <row r="27" spans="1:41" x14ac:dyDescent="0.35">
      <c r="A27" s="80"/>
      <c r="B27" s="97"/>
      <c r="C27" s="103"/>
      <c r="D27" s="103"/>
      <c r="E27" s="104"/>
      <c r="F27" s="97"/>
      <c r="G27" s="97"/>
      <c r="H27" s="97"/>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row>
    <row r="28" spans="1:41" x14ac:dyDescent="0.35">
      <c r="A28" s="80"/>
      <c r="B28" s="97"/>
      <c r="C28" s="99"/>
      <c r="D28" s="99"/>
      <c r="E28" s="97"/>
      <c r="F28" s="97"/>
      <c r="G28" s="97"/>
      <c r="H28" s="97"/>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row>
    <row r="29" spans="1:41" x14ac:dyDescent="0.35">
      <c r="A29" s="80"/>
      <c r="B29" s="97"/>
      <c r="C29" s="99"/>
      <c r="D29" s="99"/>
      <c r="E29" s="97"/>
      <c r="F29" s="97"/>
      <c r="G29" s="97"/>
      <c r="H29" s="97"/>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row>
    <row r="30" spans="1:41" x14ac:dyDescent="0.35">
      <c r="A30" s="80"/>
      <c r="B30" s="97"/>
      <c r="C30" s="99"/>
      <c r="D30" s="99"/>
      <c r="E30" s="100"/>
      <c r="F30" s="97"/>
      <c r="G30" s="97"/>
      <c r="H30" s="97"/>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row>
    <row r="31" spans="1:41" x14ac:dyDescent="0.35">
      <c r="A31" s="80"/>
      <c r="B31" s="97"/>
      <c r="C31" s="97"/>
      <c r="D31" s="97"/>
      <c r="E31" s="97"/>
      <c r="F31" s="97"/>
      <c r="G31" s="97"/>
      <c r="H31" s="97"/>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row>
    <row r="32" spans="1:41" x14ac:dyDescent="0.35">
      <c r="A32" s="80"/>
      <c r="B32" s="97"/>
      <c r="C32" s="97"/>
      <c r="D32" s="97"/>
      <c r="E32" s="97"/>
      <c r="F32" s="97"/>
      <c r="G32" s="97"/>
      <c r="H32" s="97"/>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row>
    <row r="33" spans="1:41" x14ac:dyDescent="0.35">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row>
    <row r="34" spans="1:41" x14ac:dyDescent="0.35">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row>
    <row r="35" spans="1:41" x14ac:dyDescent="0.35">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row>
    <row r="36" spans="1:41" x14ac:dyDescent="0.35">
      <c r="A36" s="80"/>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row>
    <row r="37" spans="1:41" x14ac:dyDescent="0.35">
      <c r="A37" s="80"/>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row>
    <row r="38" spans="1:41" x14ac:dyDescent="0.35">
      <c r="A38" s="80"/>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row>
    <row r="39" spans="1:41" x14ac:dyDescent="0.35">
      <c r="A39" s="80"/>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row>
    <row r="40" spans="1:41" x14ac:dyDescent="0.35">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row>
    <row r="41" spans="1:41" x14ac:dyDescent="0.35">
      <c r="A41" s="80"/>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1:41" x14ac:dyDescent="0.35">
      <c r="A42" s="80"/>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row r="43" spans="1:41" x14ac:dyDescent="0.35">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row>
    <row r="44" spans="1:41" x14ac:dyDescent="0.35">
      <c r="A44" s="80"/>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row>
    <row r="45" spans="1:41" x14ac:dyDescent="0.35">
      <c r="A45" s="80"/>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row>
    <row r="46" spans="1:41" x14ac:dyDescent="0.35">
      <c r="A46" s="80"/>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row>
    <row r="47" spans="1:41" x14ac:dyDescent="0.35">
      <c r="A47" s="80"/>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row>
    <row r="48" spans="1:41" x14ac:dyDescent="0.35">
      <c r="A48" s="80"/>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row>
    <row r="49" spans="1:41" x14ac:dyDescent="0.35">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row>
    <row r="50" spans="1:41" x14ac:dyDescent="0.35">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row>
    <row r="51" spans="1:41" x14ac:dyDescent="0.35">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row>
    <row r="52" spans="1:41" x14ac:dyDescent="0.3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row>
    <row r="53" spans="1:41" x14ac:dyDescent="0.35">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row>
    <row r="54" spans="1:41" x14ac:dyDescent="0.35">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row>
    <row r="55" spans="1:41" x14ac:dyDescent="0.3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row>
    <row r="56" spans="1:41" x14ac:dyDescent="0.3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row>
    <row r="57" spans="1:41" x14ac:dyDescent="0.3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row>
    <row r="58" spans="1:41" x14ac:dyDescent="0.3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row>
    <row r="59" spans="1:41" x14ac:dyDescent="0.3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row>
    <row r="60" spans="1:41" x14ac:dyDescent="0.3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row>
    <row r="61" spans="1:41" x14ac:dyDescent="0.3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row>
    <row r="62" spans="1:41" x14ac:dyDescent="0.3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row>
    <row r="63" spans="1:41" x14ac:dyDescent="0.3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row>
    <row r="64" spans="1:41" x14ac:dyDescent="0.3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row>
    <row r="65" spans="1:41" x14ac:dyDescent="0.3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row>
    <row r="66" spans="1:41" x14ac:dyDescent="0.3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row>
    <row r="67" spans="1:41" x14ac:dyDescent="0.3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row>
    <row r="68" spans="1:41" x14ac:dyDescent="0.3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row>
    <row r="69" spans="1:41" x14ac:dyDescent="0.3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row>
    <row r="70" spans="1:41" x14ac:dyDescent="0.3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row>
    <row r="71" spans="1:41" x14ac:dyDescent="0.3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row>
    <row r="72" spans="1:41" x14ac:dyDescent="0.3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row>
    <row r="73" spans="1:41" x14ac:dyDescent="0.3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row>
    <row r="74" spans="1:41" x14ac:dyDescent="0.3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row>
    <row r="75" spans="1:41" x14ac:dyDescent="0.3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row>
    <row r="76" spans="1:41" x14ac:dyDescent="0.3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row>
    <row r="77" spans="1:41" x14ac:dyDescent="0.3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row>
    <row r="78" spans="1:41" x14ac:dyDescent="0.3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row>
    <row r="79" spans="1:41" x14ac:dyDescent="0.3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row>
    <row r="80" spans="1:41" x14ac:dyDescent="0.3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row>
    <row r="81" spans="1:41" x14ac:dyDescent="0.3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row>
    <row r="82" spans="1:41" x14ac:dyDescent="0.3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row>
    <row r="83" spans="1:41" x14ac:dyDescent="0.3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row>
    <row r="84" spans="1:41" x14ac:dyDescent="0.3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row>
    <row r="85" spans="1:41" x14ac:dyDescent="0.3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row>
    <row r="86" spans="1:41" x14ac:dyDescent="0.3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row>
    <row r="87" spans="1:41" x14ac:dyDescent="0.3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row>
    <row r="88" spans="1:41" x14ac:dyDescent="0.3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row>
    <row r="89" spans="1:41" x14ac:dyDescent="0.3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row>
    <row r="90" spans="1:41" x14ac:dyDescent="0.3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row>
    <row r="91" spans="1:41" x14ac:dyDescent="0.3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row>
    <row r="92" spans="1:41" x14ac:dyDescent="0.3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row>
    <row r="93" spans="1:41" x14ac:dyDescent="0.3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row>
    <row r="94" spans="1:41" x14ac:dyDescent="0.3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row>
    <row r="95" spans="1:41" x14ac:dyDescent="0.3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row>
    <row r="96" spans="1:41" x14ac:dyDescent="0.3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row>
    <row r="97" spans="1:41" x14ac:dyDescent="0.3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row>
    <row r="98" spans="1:41" x14ac:dyDescent="0.3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row>
    <row r="99" spans="1:41" x14ac:dyDescent="0.3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row>
    <row r="100" spans="1:41" x14ac:dyDescent="0.3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row>
    <row r="101" spans="1:41" x14ac:dyDescent="0.3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row>
    <row r="102" spans="1:41" x14ac:dyDescent="0.3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row>
    <row r="103" spans="1:41" x14ac:dyDescent="0.3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row>
    <row r="104" spans="1:41" x14ac:dyDescent="0.3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row>
    <row r="105" spans="1:41" x14ac:dyDescent="0.3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row>
    <row r="106" spans="1:41" x14ac:dyDescent="0.3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row>
    <row r="107" spans="1:41" x14ac:dyDescent="0.3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row>
    <row r="108" spans="1:41" x14ac:dyDescent="0.3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row>
    <row r="109" spans="1:41" x14ac:dyDescent="0.3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row>
    <row r="110" spans="1:41" x14ac:dyDescent="0.3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row>
    <row r="111" spans="1:41" x14ac:dyDescent="0.3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row>
    <row r="112" spans="1:41" x14ac:dyDescent="0.3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row>
    <row r="113" spans="1:41" x14ac:dyDescent="0.3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row>
    <row r="114" spans="1:41" x14ac:dyDescent="0.3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row>
  </sheetData>
  <protectedRanges>
    <protectedRange sqref="F6:G15" name="Range1"/>
  </protectedRanges>
  <mergeCells count="2">
    <mergeCell ref="C3:E4"/>
    <mergeCell ref="C22:E23"/>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4BEDAF2ADFEA4285C8BE40506AB288" ma:contentTypeVersion="13" ma:contentTypeDescription="Create a new document." ma:contentTypeScope="" ma:versionID="9501f154d90434f0355d719f955f6b23">
  <xsd:schema xmlns:xsd="http://www.w3.org/2001/XMLSchema" xmlns:xs="http://www.w3.org/2001/XMLSchema" xmlns:p="http://schemas.microsoft.com/office/2006/metadata/properties" xmlns:ns3="c95b4bfa-90c1-465e-a8ae-f6960fbfc2b7" xmlns:ns4="b72cffa6-1579-4333-800d-d845dc4afd72" targetNamespace="http://schemas.microsoft.com/office/2006/metadata/properties" ma:root="true" ma:fieldsID="19d8285a7b226399e9b52d23ad5b9ecf" ns3:_="" ns4:_="">
    <xsd:import namespace="c95b4bfa-90c1-465e-a8ae-f6960fbfc2b7"/>
    <xsd:import namespace="b72cffa6-1579-4333-800d-d845dc4af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4bfa-90c1-465e-a8ae-f6960fbfc2b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2cffa6-1579-4333-800d-d845dc4afd72"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0FE84F-811C-433B-BFAF-74B58B1D3B99}">
  <ds:schemaRefs>
    <ds:schemaRef ds:uri="http://purl.org/dc/elements/1.1/"/>
    <ds:schemaRef ds:uri="http://schemas.microsoft.com/office/infopath/2007/PartnerControls"/>
    <ds:schemaRef ds:uri="c95b4bfa-90c1-465e-a8ae-f6960fbfc2b7"/>
    <ds:schemaRef ds:uri="http://schemas.openxmlformats.org/package/2006/metadata/core-properties"/>
    <ds:schemaRef ds:uri="http://www.w3.org/XML/1998/namespace"/>
    <ds:schemaRef ds:uri="http://purl.org/dc/terms/"/>
    <ds:schemaRef ds:uri="http://schemas.microsoft.com/office/2006/documentManagement/types"/>
    <ds:schemaRef ds:uri="http://purl.org/dc/dcmitype/"/>
    <ds:schemaRef ds:uri="b72cffa6-1579-4333-800d-d845dc4afd72"/>
    <ds:schemaRef ds:uri="http://schemas.microsoft.com/office/2006/metadata/properties"/>
  </ds:schemaRefs>
</ds:datastoreItem>
</file>

<file path=customXml/itemProps2.xml><?xml version="1.0" encoding="utf-8"?>
<ds:datastoreItem xmlns:ds="http://schemas.openxmlformats.org/officeDocument/2006/customXml" ds:itemID="{0D7A7299-A52C-483E-8DC3-6D4F5D8DE700}">
  <ds:schemaRefs>
    <ds:schemaRef ds:uri="http://schemas.microsoft.com/sharepoint/v3/contenttype/forms"/>
  </ds:schemaRefs>
</ds:datastoreItem>
</file>

<file path=customXml/itemProps3.xml><?xml version="1.0" encoding="utf-8"?>
<ds:datastoreItem xmlns:ds="http://schemas.openxmlformats.org/officeDocument/2006/customXml" ds:itemID="{0F33EF90-F5B2-458D-AEAC-465551071C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4bfa-90c1-465e-a8ae-f6960fbfc2b7"/>
    <ds:schemaRef ds:uri="b72cffa6-1579-4333-800d-d845dc4af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Charts</vt:lpstr>
      </vt:variant>
      <vt:variant>
        <vt:i4>2</vt:i4>
      </vt:variant>
    </vt:vector>
  </HeadingPairs>
  <TitlesOfParts>
    <vt:vector size="9" baseType="lpstr">
      <vt:lpstr>Overview &amp; Sources</vt:lpstr>
      <vt:lpstr>Facility Index Tool</vt:lpstr>
      <vt:lpstr>Data Details</vt:lpstr>
      <vt:lpstr>Indiana Figures</vt:lpstr>
      <vt:lpstr>Indiana Audits</vt:lpstr>
      <vt:lpstr>Analysis</vt:lpstr>
      <vt:lpstr>Funding Tool Inputs_Outputs (2)</vt:lpstr>
      <vt:lpstr>Chart</vt:lpstr>
      <vt:lpstr>Alt Chart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Joseph (matthewj@excelined.org)</dc:creator>
  <cp:keywords/>
  <dc:description/>
  <cp:lastModifiedBy>Matthew Joseph (matthewj@excelined.org)</cp:lastModifiedBy>
  <cp:revision/>
  <dcterms:created xsi:type="dcterms:W3CDTF">2018-08-30T18:35:17Z</dcterms:created>
  <dcterms:modified xsi:type="dcterms:W3CDTF">2020-10-02T14:17:14Z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0x010100074BEDAF2ADFEA4285C8BE40506AB288</vt:lpwstr>
  </property>
</Properties>
</file>