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C:\Users\clareex\Desktop\Website PDFs\"/>
    </mc:Choice>
  </mc:AlternateContent>
  <xr:revisionPtr revIDLastSave="0" documentId="8_{99A222D8-E244-4EF7-9774-747B47E46C0D}" xr6:coauthVersionLast="31" xr6:coauthVersionMax="31" xr10:uidLastSave="{00000000-0000-0000-0000-000000000000}"/>
  <bookViews>
    <workbookView xWindow="0" yWindow="0" windowWidth="23040" windowHeight="6480" activeTab="1" xr2:uid="{00000000-000D-0000-FFFF-FFFF00000000}"/>
  </bookViews>
  <sheets>
    <sheet name="Explanations" sheetId="6" r:id="rId1"/>
    <sheet name="Modeling" sheetId="5" r:id="rId2"/>
    <sheet name="Current Funding" sheetId="7" r:id="rId3"/>
  </sheets>
  <definedNames>
    <definedName name="_xlnm.Print_Area" localSheetId="1">Modeling!$A$1:$X$31</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1" i="5" l="1"/>
  <c r="M9" i="5"/>
  <c r="C5" i="7" l="1"/>
  <c r="C6" i="7" s="1"/>
  <c r="C7" i="7" s="1"/>
  <c r="E5" i="5" s="1"/>
  <c r="R52" i="5" l="1"/>
  <c r="R51" i="5"/>
  <c r="R45" i="5"/>
  <c r="R44" i="5"/>
  <c r="R38" i="5"/>
  <c r="R37" i="5"/>
  <c r="C29" i="5"/>
  <c r="D16" i="5"/>
  <c r="D14" i="5"/>
  <c r="B14" i="5"/>
  <c r="D13" i="5"/>
  <c r="B13" i="5"/>
  <c r="D11" i="5"/>
  <c r="B11" i="5"/>
  <c r="E13" i="5" s="1"/>
  <c r="C18" i="5" s="1"/>
  <c r="B19" i="5" s="1"/>
  <c r="E14" i="5" l="1"/>
  <c r="C19" i="5" s="1"/>
  <c r="D18" i="5"/>
  <c r="E18" i="5" s="1"/>
  <c r="B18" i="5"/>
  <c r="B25" i="5"/>
  <c r="I37" i="5"/>
  <c r="Q37" i="5" s="1"/>
  <c r="I38" i="5"/>
  <c r="Q38" i="5" s="1"/>
  <c r="D19" i="5" l="1"/>
  <c r="E19" i="5"/>
  <c r="T52" i="5" s="1"/>
  <c r="T51" i="5"/>
  <c r="T44" i="5"/>
  <c r="T37" i="5"/>
  <c r="B39" i="5"/>
  <c r="F38" i="5"/>
  <c r="L38" i="5" s="1"/>
  <c r="M38" i="5" s="1"/>
  <c r="D38" i="5"/>
  <c r="E38" i="5" s="1"/>
  <c r="F37" i="5"/>
  <c r="L37" i="5" s="1"/>
  <c r="M37" i="5" s="1"/>
  <c r="E37" i="5"/>
  <c r="I45" i="5"/>
  <c r="I44" i="5"/>
  <c r="T38" i="5" l="1"/>
  <c r="T45" i="5"/>
  <c r="J37" i="5"/>
  <c r="Q44" i="5"/>
  <c r="J38" i="5"/>
  <c r="M19" i="5" s="1"/>
  <c r="Q45" i="5"/>
  <c r="G37" i="5"/>
  <c r="G38" i="5"/>
  <c r="G39" i="5" l="1"/>
  <c r="M4" i="5" s="1"/>
  <c r="M16" i="5"/>
  <c r="M22" i="5" s="1"/>
  <c r="K38" i="5"/>
  <c r="J39" i="5"/>
  <c r="M7" i="5" s="1"/>
  <c r="K37" i="5"/>
  <c r="E20" i="5" l="1"/>
  <c r="M39" i="5"/>
  <c r="M40" i="5" s="1"/>
  <c r="K39" i="5"/>
  <c r="I39" i="5"/>
  <c r="G40" i="5"/>
  <c r="J45" i="5"/>
  <c r="J44" i="5"/>
  <c r="I52" i="5"/>
  <c r="J52" i="5" s="1"/>
  <c r="I51" i="5"/>
  <c r="J51" i="5" s="1"/>
  <c r="J46" i="5" l="1"/>
  <c r="J53" i="5"/>
  <c r="B53" i="5" l="1"/>
  <c r="I53" i="5" s="1"/>
  <c r="D52" i="5"/>
  <c r="B46" i="5"/>
  <c r="I46" i="5" s="1"/>
  <c r="D45" i="5"/>
  <c r="E45" i="5" s="1"/>
  <c r="F45" i="5"/>
  <c r="L45" i="5" s="1"/>
  <c r="M45" i="5" s="1"/>
  <c r="M10" i="5" l="1"/>
  <c r="Q52" i="5"/>
  <c r="G45" i="5"/>
  <c r="K45" i="5" l="1"/>
  <c r="Q51" i="5"/>
  <c r="E52" i="5"/>
  <c r="E51" i="5"/>
  <c r="E44" i="5"/>
  <c r="F52" i="5"/>
  <c r="L52" i="5" s="1"/>
  <c r="M52" i="5" s="1"/>
  <c r="F51" i="5"/>
  <c r="L51" i="5" s="1"/>
  <c r="M51" i="5" s="1"/>
  <c r="F44" i="5"/>
  <c r="L44" i="5" s="1"/>
  <c r="M44" i="5" s="1"/>
  <c r="G51" i="5" l="1"/>
  <c r="G52" i="5"/>
  <c r="G44" i="5"/>
  <c r="G46" i="5" s="1"/>
  <c r="G53" i="5" l="1"/>
  <c r="K44" i="5"/>
  <c r="K52" i="5"/>
  <c r="K51" i="5"/>
  <c r="K53" i="5"/>
  <c r="K46" i="5"/>
  <c r="G47" i="5" l="1"/>
  <c r="M46" i="5"/>
  <c r="M47" i="5" s="1"/>
  <c r="G54" i="5"/>
  <c r="M53" i="5"/>
  <c r="M54" i="5" s="1"/>
  <c r="S37" i="5" l="1"/>
  <c r="S38" i="5"/>
  <c r="U38" i="5" s="1"/>
  <c r="D29" i="5" s="1"/>
  <c r="S52" i="5" l="1"/>
  <c r="U52" i="5" s="1"/>
  <c r="V52" i="5" s="1"/>
  <c r="Y52" i="5" s="1"/>
  <c r="S44" i="5"/>
  <c r="S45" i="5"/>
  <c r="U45" i="5" s="1"/>
  <c r="V45" i="5" s="1"/>
  <c r="Y45" i="5" s="1"/>
  <c r="S51" i="5"/>
  <c r="V38" i="5"/>
  <c r="Y38" i="5" s="1"/>
  <c r="M20" i="5" l="1"/>
  <c r="U37" i="5" l="1"/>
  <c r="V37" i="5" s="1"/>
  <c r="Y37" i="5" l="1"/>
  <c r="D28" i="5"/>
  <c r="V39" i="5"/>
  <c r="Y39" i="5" s="1"/>
  <c r="C25" i="5" s="1"/>
  <c r="E25" i="5" s="1"/>
  <c r="N37" i="5" l="1"/>
  <c r="B28" i="5" s="1"/>
  <c r="B29" i="5" s="1"/>
  <c r="E29" i="5" s="1"/>
  <c r="E23" i="5"/>
  <c r="M8" i="5"/>
  <c r="M14" i="5" s="1"/>
  <c r="N44" i="5" l="1"/>
  <c r="P44" i="5" s="1"/>
  <c r="P37" i="5"/>
  <c r="W37" i="5" s="1"/>
  <c r="X37" i="5" s="1"/>
  <c r="Z37" i="5" s="1"/>
  <c r="N38" i="5"/>
  <c r="N45" i="5" s="1"/>
  <c r="N51" i="5"/>
  <c r="P51" i="5" s="1"/>
  <c r="E28" i="5"/>
  <c r="E30" i="5" s="1"/>
  <c r="D25" i="5"/>
  <c r="N52" i="5" l="1"/>
  <c r="O52" i="5" s="1"/>
  <c r="P52" i="5" s="1"/>
  <c r="W52" i="5" s="1"/>
  <c r="X52" i="5" s="1"/>
  <c r="Z52" i="5" s="1"/>
  <c r="O38" i="5"/>
  <c r="P38" i="5" s="1"/>
  <c r="W38" i="5" s="1"/>
  <c r="X38" i="5" s="1"/>
  <c r="Z38" i="5" s="1"/>
  <c r="O45" i="5"/>
  <c r="P45" i="5" s="1"/>
  <c r="W45" i="5" s="1"/>
  <c r="X45" i="5" s="1"/>
  <c r="Z45" i="5" s="1"/>
  <c r="U51" i="5"/>
  <c r="V51" i="5" s="1"/>
  <c r="Y51" i="5" s="1"/>
  <c r="U44" i="5"/>
  <c r="V44" i="5" s="1"/>
  <c r="Y44" i="5" s="1"/>
  <c r="X39" i="5" l="1"/>
  <c r="X40" i="5" s="1"/>
  <c r="M17" i="5"/>
  <c r="W39" i="5"/>
  <c r="W40" i="5" s="1"/>
  <c r="W44" i="5"/>
  <c r="V46" i="5"/>
  <c r="Y46" i="5" s="1"/>
  <c r="V53" i="5"/>
  <c r="Y53" i="5" s="1"/>
  <c r="W51" i="5"/>
  <c r="M23" i="5" l="1"/>
  <c r="M24" i="5" s="1"/>
  <c r="M18" i="5"/>
  <c r="Z39" i="5"/>
  <c r="M5" i="5"/>
  <c r="W46" i="5"/>
  <c r="W47" i="5" s="1"/>
  <c r="X44" i="5"/>
  <c r="X46" i="5" s="1"/>
  <c r="X47" i="5" s="1"/>
  <c r="M25" i="5" s="1"/>
  <c r="X51" i="5"/>
  <c r="X53" i="5" s="1"/>
  <c r="Z53" i="5" s="1"/>
  <c r="W53" i="5"/>
  <c r="W54" i="5" s="1"/>
  <c r="M11" i="5" l="1"/>
  <c r="M12" i="5" s="1"/>
  <c r="M6" i="5"/>
  <c r="M13" i="5" s="1"/>
  <c r="M15" i="5" s="1"/>
  <c r="Z44" i="5"/>
  <c r="Z51" i="5"/>
  <c r="X54" i="5"/>
  <c r="Z46" i="5"/>
  <c r="M26" i="5" l="1"/>
  <c r="M27" i="5" s="1"/>
</calcChain>
</file>

<file path=xl/sharedStrings.xml><?xml version="1.0" encoding="utf-8"?>
<sst xmlns="http://schemas.openxmlformats.org/spreadsheetml/2006/main" count="210" uniqueCount="124">
  <si>
    <t>Total</t>
  </si>
  <si>
    <t>Average</t>
  </si>
  <si>
    <t>Base</t>
  </si>
  <si>
    <t>Performance Funding</t>
  </si>
  <si>
    <t>Enrollment Funding</t>
  </si>
  <si>
    <t>#</t>
  </si>
  <si>
    <t>Per Student</t>
  </si>
  <si>
    <t>Weight</t>
  </si>
  <si>
    <t>District A--Low At Risk</t>
  </si>
  <si>
    <t>District B--High At Risk</t>
  </si>
  <si>
    <t>Taking
Alg.</t>
  </si>
  <si>
    <t>Per
Course</t>
  </si>
  <si>
    <t>Total
# Units</t>
  </si>
  <si>
    <t>Key Inputs</t>
  </si>
  <si>
    <t>Key Outputs</t>
  </si>
  <si>
    <t>Actual</t>
  </si>
  <si>
    <t>Units/
Course</t>
  </si>
  <si>
    <t>Incent.
Impact</t>
  </si>
  <si>
    <t>Units w/
Impact</t>
  </si>
  <si>
    <t xml:space="preserve"> All Students Taking Algebra I During One School Year</t>
  </si>
  <si>
    <t>All Students Statewide</t>
  </si>
  <si>
    <t>Performance Funding Modeling Tool</t>
  </si>
  <si>
    <t>Low</t>
  </si>
  <si>
    <t>High</t>
  </si>
  <si>
    <t>Medium</t>
  </si>
  <si>
    <t>Unadj. Impact</t>
  </si>
  <si>
    <t>Adj. Impact</t>
  </si>
  <si>
    <t>Unadj.</t>
  </si>
  <si>
    <t>Weights for Student Subgroups</t>
  </si>
  <si>
    <t>% of Overall Funding</t>
  </si>
  <si>
    <t>Base Course Funding Per Student for Algebra I</t>
  </si>
  <si>
    <t>Higher</t>
  </si>
  <si>
    <t>Potential Performance Funding Pool</t>
  </si>
  <si>
    <t>Is performance funding capped at available pool?</t>
  </si>
  <si>
    <t>Impact Adjusted for Weights</t>
  </si>
  <si>
    <t>Change in Funding--Investment</t>
  </si>
  <si>
    <t>Impact Based on % of Funding</t>
  </si>
  <si>
    <t>Explanations</t>
  </si>
  <si>
    <t>Total Enrollment Funding</t>
  </si>
  <si>
    <t>Total Performance Funding</t>
  </si>
  <si>
    <t>Enrollment</t>
  </si>
  <si>
    <r>
      <rPr>
        <b/>
        <sz val="11"/>
        <color theme="1"/>
        <rFont val="Calibri"/>
        <family val="2"/>
        <scheme val="minor"/>
      </rPr>
      <t xml:space="preserve">Total Enrollment Funding: </t>
    </r>
    <r>
      <rPr>
        <sz val="11"/>
        <color theme="1"/>
        <rFont val="Calibri"/>
        <family val="2"/>
        <scheme val="minor"/>
      </rPr>
      <t>This is how much districts are currently getting under enrollment funding, reflecting the numbers of students statewide taking the Algebra I end-of-course exams.</t>
    </r>
  </si>
  <si>
    <r>
      <rPr>
        <b/>
        <sz val="11"/>
        <color theme="1"/>
        <rFont val="Calibri"/>
        <family val="2"/>
        <scheme val="minor"/>
      </rPr>
      <t xml:space="preserve">Total Performance Funding: </t>
    </r>
    <r>
      <rPr>
        <sz val="11"/>
        <color theme="1"/>
        <rFont val="Calibri"/>
        <family val="2"/>
        <scheme val="minor"/>
      </rPr>
      <t>This shows total enrollment funding based on the various inputs selected.</t>
    </r>
  </si>
  <si>
    <t>Yes</t>
  </si>
  <si>
    <t>Likely Performance Funding</t>
  </si>
  <si>
    <t>Enroll.</t>
  </si>
  <si>
    <t>Funding</t>
  </si>
  <si>
    <t>Units</t>
  </si>
  <si>
    <t>On General Students</t>
  </si>
  <si>
    <t>General Students</t>
  </si>
  <si>
    <t>Unweighted FTE</t>
  </si>
  <si>
    <t>Base FEFP</t>
  </si>
  <si>
    <t>Class Size</t>
  </si>
  <si>
    <t>Per Unweighted</t>
  </si>
  <si>
    <t>As a general matter, cells that are highlighted yellow in the model are ones that policymakers can adjust based on their preferences and to gauge impact. Other cells are automatically calculated</t>
  </si>
  <si>
    <t xml:space="preserve">General Students </t>
  </si>
  <si>
    <t>Current Course Success Rates--Algebra I</t>
  </si>
  <si>
    <t>Success
Rate</t>
  </si>
  <si>
    <r>
      <rPr>
        <b/>
        <sz val="11"/>
        <color theme="1"/>
        <rFont val="Calibri"/>
        <family val="2"/>
        <scheme val="minor"/>
      </rPr>
      <t>Is performance funding capped at available pool?</t>
    </r>
    <r>
      <rPr>
        <sz val="11"/>
        <color theme="1"/>
        <rFont val="Calibri"/>
        <family val="2"/>
        <scheme val="minor"/>
      </rPr>
      <t xml:space="preserve"> If "Yes" is selected, then the funding per successful course is calculated based on the pool divided by the number of successful courses such that performance funding cannot exceed the available pool.</t>
    </r>
  </si>
  <si>
    <t>Course Successes--Performance</t>
  </si>
  <si>
    <t>Impact on # of Course Successes</t>
  </si>
  <si>
    <t>Course Successes Per $1 million--Enrollment</t>
  </si>
  <si>
    <t>Impact on Course Successes Per $1 million</t>
  </si>
  <si>
    <t>Change in Course Successes--Return</t>
  </si>
  <si>
    <t>Total # of Course Successes</t>
  </si>
  <si>
    <t>Course Successes</t>
  </si>
  <si>
    <t>Unit
Successes</t>
  </si>
  <si>
    <t>Per Course Success</t>
  </si>
  <si>
    <t>Total # Performance Units Per Course</t>
  </si>
  <si>
    <r>
      <rPr>
        <b/>
        <sz val="11"/>
        <color theme="1"/>
        <rFont val="Calibri"/>
        <family val="2"/>
        <scheme val="minor"/>
      </rPr>
      <t xml:space="preserve">Performance Funding: </t>
    </r>
    <r>
      <rPr>
        <sz val="11"/>
        <color theme="1"/>
        <rFont val="Calibri"/>
        <family val="2"/>
        <scheme val="minor"/>
      </rPr>
      <t xml:space="preserve">This is the percentage of overall funding allocated based on performance. There are three choices: low, medium and high. The remaining funds are allocated based on enrollment. The choice selected also changes the extent to which performance funding will impact student success, as explained below. </t>
    </r>
  </si>
  <si>
    <r>
      <rPr>
        <b/>
        <sz val="11"/>
        <color theme="1"/>
        <rFont val="Calibri"/>
        <family val="2"/>
        <scheme val="minor"/>
      </rPr>
      <t xml:space="preserve">Impact Based on % of Funding: </t>
    </r>
    <r>
      <rPr>
        <sz val="11"/>
        <color theme="1"/>
        <rFont val="Calibri"/>
        <family val="2"/>
        <scheme val="minor"/>
      </rPr>
      <t>This shows impact on student success because of performance funding. If a medium percent is allocated, the tool reflects impact on student success, for each student subgroup, based on research. If the percent is low, there is less impact on student success. If a high percent is selected, impact is increased for each student subgroup. If the adjusted impact is above 100 percent, it means that the student is not only succeeding in Algebra 1 but also with more advanced material.</t>
    </r>
  </si>
  <si>
    <r>
      <rPr>
        <b/>
        <sz val="11"/>
        <color theme="1"/>
        <rFont val="Calibri"/>
        <family val="2"/>
        <scheme val="minor"/>
      </rPr>
      <t>Total # Performance Units Per Course:</t>
    </r>
    <r>
      <rPr>
        <sz val="11"/>
        <color theme="1"/>
        <rFont val="Calibri"/>
        <family val="2"/>
        <scheme val="minor"/>
      </rPr>
      <t xml:space="preserve"> If performance is based on an entire course, there is 1 performance unit. If funding is based on units that make up a course, policymakers can enter a number higher than 1. If performance is based on percentage of assignments successfully completed, policymakers can enter 100.</t>
    </r>
  </si>
  <si>
    <t>Per Year Course</t>
  </si>
  <si>
    <t>Performance</t>
  </si>
  <si>
    <t>Florida Funding</t>
  </si>
  <si>
    <t>Course Successes Per $1 million--Performance</t>
  </si>
  <si>
    <t>What percent comes from enrollment funding vs. add-on?</t>
  </si>
  <si>
    <t>Capped</t>
  </si>
  <si>
    <r>
      <rPr>
        <b/>
        <sz val="11"/>
        <color theme="1"/>
        <rFont val="Calibri"/>
        <family val="2"/>
        <scheme val="minor"/>
      </rPr>
      <t xml:space="preserve">Performance Funding Per Course: </t>
    </r>
    <r>
      <rPr>
        <sz val="11"/>
        <color theme="1"/>
        <rFont val="Calibri"/>
        <family val="2"/>
        <scheme val="minor"/>
      </rPr>
      <t>Three choices are offered. "Base" is the same per course as provided through enrollment funding. "Capped" is based on available funds in the pool, as explained above. "Higher" is above the capped figure. After considering these three options, policymakers can enter an actual amount. However, if capped funding was selected above, the funding per course will remain at the capped amount.</t>
    </r>
  </si>
  <si>
    <t>Course Successes--Enrollment</t>
  </si>
  <si>
    <t>Courses Per $1m</t>
  </si>
  <si>
    <t>Overall Funding</t>
  </si>
  <si>
    <r>
      <rPr>
        <b/>
        <sz val="11"/>
        <color theme="1"/>
        <rFont val="Calibri"/>
        <family val="2"/>
        <scheme val="minor"/>
      </rPr>
      <t>Impact Adjusted for Weight:</t>
    </r>
    <r>
      <rPr>
        <sz val="11"/>
        <color theme="1"/>
        <rFont val="Calibri"/>
        <family val="2"/>
        <scheme val="minor"/>
      </rPr>
      <t xml:space="preserve"> If a medium weight is selected, the impact on student success remains unchanged from what was expected from the performance percentage selected. A low weight results in a downward adjustment, and a high weight produces a higher adjusted impact.</t>
    </r>
  </si>
  <si>
    <r>
      <rPr>
        <b/>
        <sz val="11"/>
        <color theme="1"/>
        <rFont val="Calibri"/>
        <family val="2"/>
        <scheme val="minor"/>
      </rPr>
      <t>What percent comes from enrollment funding vs. add-on?</t>
    </r>
    <r>
      <rPr>
        <sz val="11"/>
        <color theme="1"/>
        <rFont val="Calibri"/>
        <family val="2"/>
        <scheme val="minor"/>
      </rPr>
      <t xml:space="preserve"> This indicates how much of the performance funding comes out of the enrollment funding and how much is on top of that funding. 100 percent means it all comes out of enrollment funding. 0 percent means it is all on top of, or in addition to, the enrollment funding.</t>
    </r>
  </si>
  <si>
    <r>
      <rPr>
        <b/>
        <sz val="11"/>
        <color theme="1"/>
        <rFont val="Calibri"/>
        <family val="2"/>
        <scheme val="minor"/>
      </rPr>
      <t xml:space="preserve">Likely Performance Funding: </t>
    </r>
    <r>
      <rPr>
        <sz val="11"/>
        <color theme="1"/>
        <rFont val="Calibri"/>
        <family val="2"/>
        <scheme val="minor"/>
      </rPr>
      <t>These are the expected funding amounts per successful course for student subgroups, calculated from the funding per successful course, weights and student success rates, adjusted as explained above. Policymakers can adjust other variables to decrease differentials on how much funding student subgroups will likely produce per successful course.</t>
    </r>
  </si>
  <si>
    <r>
      <rPr>
        <b/>
        <sz val="11"/>
        <color theme="1"/>
        <rFont val="Calibri"/>
        <family val="2"/>
        <scheme val="minor"/>
      </rPr>
      <t>Impact on # of Successful Courses:</t>
    </r>
    <r>
      <rPr>
        <sz val="11"/>
        <color theme="1"/>
        <rFont val="Calibri"/>
        <family val="2"/>
        <scheme val="minor"/>
      </rPr>
      <t xml:space="preserve"> This shows the difference between the number of successful courses per $1 million in funding for enrollment and performance funding. </t>
    </r>
  </si>
  <si>
    <r>
      <rPr>
        <b/>
        <sz val="11"/>
        <color theme="1"/>
        <rFont val="Calibri"/>
        <family val="2"/>
        <scheme val="minor"/>
      </rPr>
      <t xml:space="preserve">Potential Performance Funding Pool: </t>
    </r>
    <r>
      <rPr>
        <sz val="11"/>
        <color theme="1"/>
        <rFont val="Calibri"/>
        <family val="2"/>
        <scheme val="minor"/>
      </rPr>
      <t>This reflects the percentage for performance funding selected, with enrollment funding as the denominator.</t>
    </r>
  </si>
  <si>
    <r>
      <rPr>
        <b/>
        <sz val="11"/>
        <color theme="1"/>
        <rFont val="Calibri"/>
        <family val="2"/>
        <scheme val="minor"/>
      </rPr>
      <t xml:space="preserve">Weights for Student Subgroups: </t>
    </r>
    <r>
      <rPr>
        <sz val="11"/>
        <color theme="1"/>
        <rFont val="Calibri"/>
        <family val="2"/>
        <scheme val="minor"/>
      </rPr>
      <t>This reflects additional funding per successful course for at-risk students. 1.00 means no additional funding; 1.22 means 22 percent additional funding. There are three choices: low, medium and high. The weight affects how much student success is expected to change, as explained below.</t>
    </r>
  </si>
  <si>
    <r>
      <rPr>
        <b/>
        <sz val="11"/>
        <color theme="1"/>
        <rFont val="Calibri"/>
        <family val="2"/>
        <scheme val="minor"/>
      </rPr>
      <t># Taking Alg.:</t>
    </r>
    <r>
      <rPr>
        <sz val="11"/>
        <color theme="1"/>
        <rFont val="Calibri"/>
        <family val="2"/>
        <scheme val="minor"/>
      </rPr>
      <t xml:space="preserve"> This is the number of students statewide who took the end-of-course Algebra I in the most recent school year, divided into general and at-risk students, as explained above. </t>
    </r>
  </si>
  <si>
    <r>
      <t>Existing Weight for At-Risk Students (1.00 = no extra):</t>
    </r>
    <r>
      <rPr>
        <sz val="11"/>
        <color theme="1"/>
        <rFont val="Calibri"/>
        <family val="2"/>
        <scheme val="minor"/>
      </rPr>
      <t xml:space="preserve"> This is the multiplier on the base districts currently get for at-risk students, which as a proxy means students who are economically disadvantaged. A weight of 1.00 means no extra funding. A weight of 2.00 would mean double funding. As Florida currently does not have a weight for at-risk students, it is set at 1.00.</t>
    </r>
  </si>
  <si>
    <t>Existing Weight for At-Risk Students (1.00 = no extra)</t>
  </si>
  <si>
    <t>At-Risk Students</t>
  </si>
  <si>
    <t>On At-Risk Students</t>
  </si>
  <si>
    <t>For At-Risk Students</t>
  </si>
  <si>
    <t xml:space="preserve">At-Risk Students </t>
  </si>
  <si>
    <t>Differential: General v. At-Risk Students</t>
  </si>
  <si>
    <t>Enrollment Funding--At-Risk Students</t>
  </si>
  <si>
    <t>Performance Funding--At-Risk Students</t>
  </si>
  <si>
    <t>Funding Impact--At-Risk Students</t>
  </si>
  <si>
    <t>Course Successes, At-Risk Students--Enrollment</t>
  </si>
  <si>
    <t>Course Successes, At-Risk Students--Performance</t>
  </si>
  <si>
    <t>Impact on Course Successes, At-Risk Students</t>
  </si>
  <si>
    <t>Impact on Successes Per $1 million, At-Risk Students</t>
  </si>
  <si>
    <t>Successes Per $1m, At-Risk Students--Enrollment</t>
  </si>
  <si>
    <t>Successes Per $1m, At-Risk Students--Perf.</t>
  </si>
  <si>
    <t>Base  Perf. 
$ Per Unit</t>
  </si>
  <si>
    <t>Total Enr.
Funding</t>
  </si>
  <si>
    <t>At-Risk
Weight</t>
  </si>
  <si>
    <t>Enroll. $
Per Course</t>
  </si>
  <si>
    <t>Total $
Per Unit</t>
  </si>
  <si>
    <t>Total Perf. Funding</t>
  </si>
  <si>
    <t>Total
Funding</t>
  </si>
  <si>
    <r>
      <rPr>
        <b/>
        <sz val="11"/>
        <color theme="1"/>
        <rFont val="Calibri"/>
        <family val="2"/>
        <scheme val="minor"/>
      </rPr>
      <t xml:space="preserve">Current Course Success Rates--Algebra I: </t>
    </r>
    <r>
      <rPr>
        <sz val="11"/>
        <color theme="1"/>
        <rFont val="Calibri"/>
        <family val="2"/>
        <scheme val="minor"/>
      </rPr>
      <t>These are the most passing rates for the 2017-18 school year on the end-of-course exam for Algebra I for two student subgroups. "General students" are those who are not at risk. "At-risk" students are economically disadvantaged or at risk of course failure based on prior performance, i.e., they are non-economically disadvantaged students who do not take the end-of-exam until high school. Source: Florida Department of Education’s PK-12 Education Information Portal: https://edstats.fldoe.org/SASPortal/main.do.</t>
    </r>
  </si>
  <si>
    <r>
      <t xml:space="preserve">Base Funding Per Student for Algebra I: </t>
    </r>
    <r>
      <rPr>
        <sz val="11"/>
        <color theme="1"/>
        <rFont val="Calibri"/>
        <family val="2"/>
        <scheme val="minor"/>
      </rPr>
      <t>This is the annual funding currently provided for students enrolled in this course in Florida, as calculated in the separate Current Funding tab. It is the "Base Florida Education Funding Program (FEFP)" plus class size funding divided by the number of unweighted full time equivalent (FTE) students. Discretionary local funding and state categorical programs are not included.</t>
    </r>
    <r>
      <rPr>
        <b/>
        <sz val="11"/>
        <color theme="1"/>
        <rFont val="Calibri"/>
        <family val="2"/>
        <scheme val="minor"/>
      </rPr>
      <t xml:space="preserve"> </t>
    </r>
    <r>
      <rPr>
        <sz val="11"/>
        <color theme="1"/>
        <rFont val="Calibri"/>
        <family val="2"/>
        <scheme val="minor"/>
      </rPr>
      <t>Source: http://www.fldoe.org/core/fileparse.php/7507/urlt/18191stCalculation.pdf.</t>
    </r>
  </si>
  <si>
    <r>
      <rPr>
        <b/>
        <sz val="11"/>
        <color theme="1"/>
        <rFont val="Calibri"/>
        <family val="2"/>
        <scheme val="minor"/>
      </rPr>
      <t>Return on Investment (ROI):</t>
    </r>
    <r>
      <rPr>
        <sz val="11"/>
        <color theme="1"/>
        <rFont val="Calibri"/>
        <family val="2"/>
        <scheme val="minor"/>
      </rPr>
      <t xml:space="preserve"> This shows the percent change in successful courses per $1 million as a multiplier of the change in funding. A 10 percent increase in successful courses per $1 million, with a 1 percent change in funding, produces an ROI of 10. If there is a drop of funding, the ROI says "Funding Drop" rather than show a negative ROI; it means improved student outcomes despite a drop in funding.</t>
    </r>
  </si>
  <si>
    <r>
      <rPr>
        <b/>
        <sz val="11"/>
        <color theme="1"/>
        <rFont val="Calibri"/>
        <family val="2"/>
        <scheme val="minor"/>
      </rPr>
      <t>Difference Between Districts:</t>
    </r>
    <r>
      <rPr>
        <sz val="11"/>
        <color theme="1"/>
        <rFont val="Calibri"/>
        <family val="2"/>
        <scheme val="minor"/>
      </rPr>
      <t xml:space="preserve"> This shows the difference in funding between enrollment and performance funding for two hypothetical districts, one which has a high proportion of at-risk students and another which has a low proportion of at-risk students.</t>
    </r>
  </si>
  <si>
    <r>
      <rPr>
        <b/>
        <sz val="11"/>
        <color theme="1"/>
        <rFont val="Calibri"/>
        <family val="2"/>
        <scheme val="minor"/>
      </rPr>
      <t xml:space="preserve">Margin of Error, Successful Courses: </t>
    </r>
    <r>
      <rPr>
        <sz val="11"/>
        <color theme="1"/>
        <rFont val="Calibri"/>
        <family val="2"/>
        <scheme val="minor"/>
      </rPr>
      <t>This allows policymakers to examine funding if students succeed in a higher than anticipated number of courses. For example, 20 percent will increase success rates by 20 percent for each of the student subgroups.</t>
    </r>
  </si>
  <si>
    <t>Margin of Error, Successful Courses</t>
  </si>
  <si>
    <t>Cost Per Additional Course Success</t>
  </si>
  <si>
    <t>Funding Impact Per Course</t>
  </si>
  <si>
    <t>Perf. Funding Per Student for District w/ Low At-Risk</t>
  </si>
  <si>
    <t>Perf. Funding Per Student for District w/ High At-Risk</t>
  </si>
  <si>
    <t>Difference Between Low &amp; High At Risk Districts</t>
  </si>
  <si>
    <t>General Students (Not At-Risk)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</si>
</sst>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quot;$&quot;#,##0"/>
    <numFmt numFmtId="165" formatCode="_(&quot;$&quot;* #,##0_);_(&quot;$&quot;* \(#,##0\);_(&quot;$&quot;* &quot;-&quot;??_);_(@_)"/>
    <numFmt numFmtId="166" formatCode="&quot;$&quot;#,##0.00"/>
    <numFmt numFmtId="167" formatCode="0.0%"/>
  </numFmts>
  <fonts count="3" x14ac:knownFonts="1">
    <font>
      <sz val="11"/>
      <color theme="1"/>
      <name val="Calibri"/>
      <family val="2"/>
      <scheme val="minor"/>
    </font>
    <font>
      <b/>
      <sz val="11"/>
      <color theme="1"/>
      <name val="Calibri"/>
      <family val="2"/>
      <scheme val="minor"/>
    </font>
    <font>
      <sz val="11"/>
      <color theme="1"/>
      <name val="Calibri"/>
      <family val="2"/>
      <scheme val="minor"/>
    </font>
  </fonts>
  <fills count="12">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2" tint="-9.9978637043366805E-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00B050"/>
        <bgColor indexed="64"/>
      </patternFill>
    </fill>
    <fill>
      <patternFill patternType="solid">
        <fgColor rgb="FF00B0F0"/>
        <bgColor indexed="64"/>
      </patternFill>
    </fill>
  </fills>
  <borders count="3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thin">
        <color auto="1"/>
      </left>
      <right/>
      <top style="thin">
        <color auto="1"/>
      </top>
      <bottom/>
      <diagonal/>
    </border>
    <border>
      <left/>
      <right style="medium">
        <color auto="1"/>
      </right>
      <top style="thin">
        <color auto="1"/>
      </top>
      <bottom style="thin">
        <color auto="1"/>
      </bottom>
      <diagonal/>
    </border>
    <border>
      <left/>
      <right/>
      <top/>
      <bottom style="medium">
        <color auto="1"/>
      </bottom>
      <diagonal/>
    </border>
    <border>
      <left/>
      <right/>
      <top style="medium">
        <color indexed="64"/>
      </top>
      <bottom/>
      <diagonal/>
    </border>
    <border>
      <left style="medium">
        <color indexed="64"/>
      </left>
      <right/>
      <top style="medium">
        <color indexed="64"/>
      </top>
      <bottom/>
      <diagonal/>
    </border>
    <border>
      <left style="thin">
        <color auto="1"/>
      </left>
      <right/>
      <top/>
      <bottom/>
      <diagonal/>
    </border>
    <border>
      <left/>
      <right style="medium">
        <color auto="1"/>
      </right>
      <top style="medium">
        <color auto="1"/>
      </top>
      <bottom style="medium">
        <color auto="1"/>
      </bottom>
      <diagonal/>
    </border>
    <border>
      <left/>
      <right/>
      <top style="thin">
        <color auto="1"/>
      </top>
      <bottom/>
      <diagonal/>
    </border>
    <border>
      <left style="thin">
        <color auto="1"/>
      </left>
      <right style="thin">
        <color auto="1"/>
      </right>
      <top/>
      <bottom/>
      <diagonal/>
    </border>
    <border>
      <left/>
      <right/>
      <top style="medium">
        <color indexed="64"/>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thick">
        <color auto="1"/>
      </bottom>
      <diagonal/>
    </border>
    <border>
      <left/>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ck">
        <color auto="1"/>
      </top>
      <bottom style="thin">
        <color auto="1"/>
      </bottom>
      <diagonal/>
    </border>
    <border>
      <left/>
      <right/>
      <top style="thick">
        <color auto="1"/>
      </top>
      <bottom style="thin">
        <color auto="1"/>
      </bottom>
      <diagonal/>
    </border>
    <border>
      <left style="thin">
        <color auto="1"/>
      </left>
      <right style="thin">
        <color auto="1"/>
      </right>
      <top style="thick">
        <color auto="1"/>
      </top>
      <bottom style="thin">
        <color auto="1"/>
      </bottom>
      <diagonal/>
    </border>
    <border>
      <left/>
      <right style="thin">
        <color auto="1"/>
      </right>
      <top style="thin">
        <color auto="1"/>
      </top>
      <bottom style="thick">
        <color auto="1"/>
      </bottom>
      <diagonal/>
    </border>
    <border>
      <left/>
      <right style="thin">
        <color auto="1"/>
      </right>
      <top style="thick">
        <color auto="1"/>
      </top>
      <bottom style="thin">
        <color auto="1"/>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267">
    <xf numFmtId="0" fontId="0" fillId="0" borderId="0" xfId="0"/>
    <xf numFmtId="0" fontId="1" fillId="0" borderId="0" xfId="0" applyFont="1"/>
    <xf numFmtId="164" fontId="0" fillId="0" borderId="1" xfId="0" applyNumberFormat="1" applyBorder="1"/>
    <xf numFmtId="0" fontId="1" fillId="0" borderId="1" xfId="0" applyFont="1" applyBorder="1" applyAlignment="1">
      <alignment horizontal="left"/>
    </xf>
    <xf numFmtId="0" fontId="1" fillId="3" borderId="1" xfId="0" applyFont="1" applyFill="1" applyBorder="1"/>
    <xf numFmtId="164" fontId="1" fillId="3" borderId="1" xfId="0" applyNumberFormat="1" applyFont="1" applyFill="1" applyBorder="1"/>
    <xf numFmtId="0" fontId="1" fillId="3" borderId="5" xfId="0" applyFont="1" applyFill="1" applyBorder="1"/>
    <xf numFmtId="0" fontId="1" fillId="3" borderId="2" xfId="0" applyFont="1" applyFill="1" applyBorder="1"/>
    <xf numFmtId="1" fontId="1" fillId="3" borderId="1" xfId="0" applyNumberFormat="1" applyFont="1" applyFill="1" applyBorder="1"/>
    <xf numFmtId="164" fontId="1" fillId="3" borderId="9" xfId="0" applyNumberFormat="1" applyFont="1" applyFill="1" applyBorder="1"/>
    <xf numFmtId="0" fontId="1" fillId="3" borderId="0" xfId="0" applyFont="1" applyFill="1"/>
    <xf numFmtId="0" fontId="0" fillId="3" borderId="0" xfId="0" applyFill="1"/>
    <xf numFmtId="164" fontId="0" fillId="0" borderId="2" xfId="0" applyNumberFormat="1" applyFill="1" applyBorder="1"/>
    <xf numFmtId="3" fontId="1" fillId="3" borderId="1" xfId="0" applyNumberFormat="1" applyFont="1" applyFill="1" applyBorder="1"/>
    <xf numFmtId="2" fontId="1" fillId="3" borderId="9" xfId="0" applyNumberFormat="1" applyFont="1" applyFill="1" applyBorder="1"/>
    <xf numFmtId="164" fontId="0" fillId="0" borderId="2" xfId="0" applyNumberFormat="1" applyFont="1" applyFill="1" applyBorder="1" applyAlignment="1">
      <alignment horizontal="right"/>
    </xf>
    <xf numFmtId="164" fontId="1" fillId="3" borderId="10" xfId="0" applyNumberFormat="1" applyFont="1" applyFill="1" applyBorder="1"/>
    <xf numFmtId="2" fontId="0" fillId="0" borderId="9" xfId="0" applyNumberFormat="1" applyFill="1" applyBorder="1"/>
    <xf numFmtId="0" fontId="0" fillId="0" borderId="0" xfId="0" applyBorder="1" applyAlignment="1"/>
    <xf numFmtId="0" fontId="0" fillId="0" borderId="8" xfId="0" applyFill="1" applyBorder="1"/>
    <xf numFmtId="0" fontId="0" fillId="0" borderId="6" xfId="0" applyBorder="1" applyAlignment="1">
      <alignment horizontal="right"/>
    </xf>
    <xf numFmtId="0" fontId="0" fillId="0" borderId="0" xfId="0" applyAlignment="1">
      <alignment horizontal="right"/>
    </xf>
    <xf numFmtId="0" fontId="1" fillId="0" borderId="1" xfId="0" applyFont="1" applyBorder="1"/>
    <xf numFmtId="0" fontId="1" fillId="3" borderId="15" xfId="0" applyFont="1" applyFill="1" applyBorder="1" applyAlignment="1">
      <alignment horizontal="center"/>
    </xf>
    <xf numFmtId="164" fontId="1" fillId="3" borderId="3" xfId="0" applyNumberFormat="1" applyFont="1" applyFill="1" applyBorder="1"/>
    <xf numFmtId="164" fontId="0" fillId="0" borderId="1" xfId="0" applyNumberFormat="1" applyFill="1" applyBorder="1"/>
    <xf numFmtId="9" fontId="0" fillId="0" borderId="2" xfId="0" applyNumberFormat="1" applyFont="1" applyFill="1" applyBorder="1" applyAlignment="1">
      <alignment horizontal="right"/>
    </xf>
    <xf numFmtId="0" fontId="1" fillId="3" borderId="3" xfId="0" applyFont="1" applyFill="1" applyBorder="1"/>
    <xf numFmtId="3" fontId="1" fillId="3" borderId="2" xfId="0" applyNumberFormat="1" applyFont="1" applyFill="1" applyBorder="1" applyAlignment="1">
      <alignment horizontal="right"/>
    </xf>
    <xf numFmtId="3" fontId="0" fillId="0" borderId="0" xfId="0" applyNumberFormat="1" applyAlignment="1">
      <alignment horizontal="right"/>
    </xf>
    <xf numFmtId="3" fontId="1" fillId="3" borderId="15" xfId="0" applyNumberFormat="1" applyFont="1" applyFill="1" applyBorder="1" applyAlignment="1">
      <alignment horizontal="center"/>
    </xf>
    <xf numFmtId="2" fontId="0" fillId="0" borderId="1" xfId="0" applyNumberFormat="1" applyFill="1" applyBorder="1"/>
    <xf numFmtId="2" fontId="0" fillId="0" borderId="2" xfId="0" applyNumberFormat="1" applyFill="1" applyBorder="1"/>
    <xf numFmtId="0" fontId="1" fillId="0" borderId="0" xfId="0" applyFont="1" applyFill="1" applyBorder="1" applyAlignment="1">
      <alignment wrapText="1"/>
    </xf>
    <xf numFmtId="0" fontId="1" fillId="3" borderId="9" xfId="0" applyFont="1" applyFill="1" applyBorder="1"/>
    <xf numFmtId="164" fontId="0" fillId="0" borderId="9" xfId="0" applyNumberFormat="1" applyFill="1" applyBorder="1"/>
    <xf numFmtId="3" fontId="1" fillId="3" borderId="10" xfId="0" applyNumberFormat="1" applyFont="1" applyFill="1" applyBorder="1" applyAlignment="1">
      <alignment horizontal="right"/>
    </xf>
    <xf numFmtId="164" fontId="0" fillId="0" borderId="0" xfId="0" applyNumberFormat="1"/>
    <xf numFmtId="165" fontId="1" fillId="5" borderId="1" xfId="1" applyNumberFormat="1" applyFont="1" applyFill="1" applyBorder="1"/>
    <xf numFmtId="9" fontId="0" fillId="0" borderId="2" xfId="0" applyNumberFormat="1" applyFill="1" applyBorder="1"/>
    <xf numFmtId="3" fontId="1" fillId="3" borderId="2" xfId="0" applyNumberFormat="1" applyFont="1" applyFill="1" applyBorder="1"/>
    <xf numFmtId="3" fontId="0" fillId="0" borderId="0" xfId="0" applyNumberFormat="1"/>
    <xf numFmtId="3" fontId="0" fillId="0" borderId="2" xfId="0" applyNumberFormat="1" applyFill="1" applyBorder="1"/>
    <xf numFmtId="3" fontId="1" fillId="3" borderId="2" xfId="2" applyNumberFormat="1" applyFont="1" applyFill="1" applyBorder="1"/>
    <xf numFmtId="9" fontId="1" fillId="3" borderId="1" xfId="0" applyNumberFormat="1" applyFont="1" applyFill="1" applyBorder="1"/>
    <xf numFmtId="3" fontId="0" fillId="0" borderId="1" xfId="0" applyNumberFormat="1" applyFont="1" applyBorder="1" applyAlignment="1">
      <alignment horizontal="right"/>
    </xf>
    <xf numFmtId="4" fontId="0" fillId="0" borderId="2" xfId="0" applyNumberFormat="1" applyFill="1" applyBorder="1"/>
    <xf numFmtId="3" fontId="1" fillId="0" borderId="0" xfId="0" applyNumberFormat="1" applyFont="1" applyFill="1" applyBorder="1" applyAlignment="1">
      <alignment wrapText="1"/>
    </xf>
    <xf numFmtId="3" fontId="0" fillId="0" borderId="0" xfId="0" applyNumberFormat="1" applyBorder="1" applyAlignment="1"/>
    <xf numFmtId="3" fontId="1" fillId="5" borderId="1" xfId="1" applyNumberFormat="1" applyFont="1" applyFill="1" applyBorder="1"/>
    <xf numFmtId="164" fontId="1" fillId="0" borderId="0" xfId="0" applyNumberFormat="1" applyFont="1" applyFill="1" applyBorder="1" applyAlignment="1">
      <alignment wrapText="1"/>
    </xf>
    <xf numFmtId="164" fontId="0" fillId="0" borderId="0" xfId="0" applyNumberFormat="1" applyBorder="1" applyAlignment="1"/>
    <xf numFmtId="3" fontId="0" fillId="0" borderId="7" xfId="0" applyNumberFormat="1" applyBorder="1"/>
    <xf numFmtId="0" fontId="1" fillId="3" borderId="7" xfId="0" applyFont="1" applyFill="1" applyBorder="1" applyAlignment="1">
      <alignment horizontal="center" wrapText="1"/>
    </xf>
    <xf numFmtId="164" fontId="1" fillId="0" borderId="0" xfId="0" applyNumberFormat="1" applyFont="1" applyFill="1" applyBorder="1"/>
    <xf numFmtId="1" fontId="1" fillId="0" borderId="0" xfId="0" applyNumberFormat="1" applyFont="1" applyFill="1" applyBorder="1"/>
    <xf numFmtId="1" fontId="0" fillId="0" borderId="0" xfId="0" applyNumberFormat="1"/>
    <xf numFmtId="1" fontId="0" fillId="0" borderId="0" xfId="0" applyNumberFormat="1" applyBorder="1" applyAlignment="1"/>
    <xf numFmtId="1" fontId="0" fillId="0" borderId="2" xfId="0" applyNumberFormat="1" applyFont="1" applyFill="1" applyBorder="1" applyAlignment="1">
      <alignment horizontal="right"/>
    </xf>
    <xf numFmtId="1" fontId="1" fillId="3" borderId="2" xfId="0" applyNumberFormat="1" applyFont="1" applyFill="1" applyBorder="1"/>
    <xf numFmtId="9" fontId="0" fillId="0" borderId="0" xfId="0" applyNumberFormat="1"/>
    <xf numFmtId="9" fontId="0" fillId="0" borderId="0" xfId="0" applyNumberFormat="1" applyBorder="1" applyAlignment="1"/>
    <xf numFmtId="9" fontId="1" fillId="3" borderId="2" xfId="0" applyNumberFormat="1" applyFont="1" applyFill="1" applyBorder="1"/>
    <xf numFmtId="3" fontId="0" fillId="0" borderId="2" xfId="0" applyNumberFormat="1" applyFont="1" applyFill="1" applyBorder="1" applyAlignment="1">
      <alignment horizontal="right"/>
    </xf>
    <xf numFmtId="2" fontId="1" fillId="3" borderId="2" xfId="0" applyNumberFormat="1" applyFont="1" applyFill="1" applyBorder="1"/>
    <xf numFmtId="9" fontId="0" fillId="0" borderId="3" xfId="0" applyNumberFormat="1" applyFill="1" applyBorder="1"/>
    <xf numFmtId="9" fontId="1" fillId="3" borderId="4" xfId="0" applyNumberFormat="1" applyFont="1" applyFill="1" applyBorder="1"/>
    <xf numFmtId="9" fontId="1" fillId="3" borderId="4" xfId="2" applyFont="1" applyFill="1" applyBorder="1"/>
    <xf numFmtId="164" fontId="1" fillId="3" borderId="4" xfId="0" applyNumberFormat="1" applyFont="1" applyFill="1" applyBorder="1"/>
    <xf numFmtId="0" fontId="0" fillId="0" borderId="1" xfId="0" applyBorder="1"/>
    <xf numFmtId="0" fontId="0" fillId="0" borderId="0" xfId="0" applyFill="1" applyBorder="1" applyAlignment="1">
      <alignment horizontal="left"/>
    </xf>
    <xf numFmtId="164" fontId="1" fillId="0" borderId="20" xfId="0" applyNumberFormat="1" applyFont="1" applyFill="1" applyBorder="1"/>
    <xf numFmtId="0" fontId="0" fillId="0" borderId="0" xfId="0" applyBorder="1" applyAlignment="1">
      <alignment horizontal="left"/>
    </xf>
    <xf numFmtId="9" fontId="0" fillId="0" borderId="0" xfId="0" applyNumberFormat="1" applyBorder="1" applyAlignment="1">
      <alignment horizontal="left"/>
    </xf>
    <xf numFmtId="0" fontId="0" fillId="0" borderId="17" xfId="0" applyBorder="1"/>
    <xf numFmtId="0" fontId="0" fillId="0" borderId="0" xfId="0" applyBorder="1"/>
    <xf numFmtId="3" fontId="0" fillId="0" borderId="10" xfId="0" applyNumberFormat="1" applyFill="1" applyBorder="1"/>
    <xf numFmtId="3" fontId="1" fillId="3" borderId="10" xfId="0" applyNumberFormat="1" applyFont="1" applyFill="1" applyBorder="1"/>
    <xf numFmtId="0" fontId="0" fillId="0" borderId="0" xfId="0" applyAlignment="1">
      <alignment horizontal="left"/>
    </xf>
    <xf numFmtId="0" fontId="1" fillId="3" borderId="1" xfId="0" applyFont="1" applyFill="1" applyBorder="1" applyAlignment="1">
      <alignment horizontal="left"/>
    </xf>
    <xf numFmtId="2" fontId="1" fillId="3" borderId="1" xfId="0" applyNumberFormat="1" applyFont="1" applyFill="1" applyBorder="1" applyAlignment="1">
      <alignment horizontal="left"/>
    </xf>
    <xf numFmtId="4" fontId="0" fillId="0" borderId="1" xfId="0" applyNumberFormat="1" applyFill="1" applyBorder="1" applyAlignment="1">
      <alignment horizontal="right"/>
    </xf>
    <xf numFmtId="0" fontId="1" fillId="3" borderId="13" xfId="0" applyFont="1" applyFill="1" applyBorder="1" applyAlignment="1">
      <alignment horizontal="center"/>
    </xf>
    <xf numFmtId="0" fontId="1" fillId="3" borderId="7" xfId="0" applyFont="1" applyFill="1" applyBorder="1" applyAlignment="1">
      <alignment horizontal="center"/>
    </xf>
    <xf numFmtId="0" fontId="1" fillId="3" borderId="1" xfId="0" applyFont="1" applyFill="1" applyBorder="1" applyAlignment="1">
      <alignment horizontal="center" wrapText="1"/>
    </xf>
    <xf numFmtId="0" fontId="1" fillId="3" borderId="3" xfId="0" applyFont="1" applyFill="1" applyBorder="1" applyAlignment="1">
      <alignment horizontal="center" wrapText="1"/>
    </xf>
    <xf numFmtId="3" fontId="1" fillId="3" borderId="2" xfId="0" applyNumberFormat="1" applyFont="1" applyFill="1" applyBorder="1" applyAlignment="1">
      <alignment horizontal="center" wrapText="1"/>
    </xf>
    <xf numFmtId="0" fontId="1" fillId="3" borderId="10" xfId="0" applyFont="1" applyFill="1" applyBorder="1" applyAlignment="1">
      <alignment horizontal="center" wrapText="1"/>
    </xf>
    <xf numFmtId="0" fontId="1" fillId="3" borderId="2" xfId="0" applyFont="1" applyFill="1" applyBorder="1" applyAlignment="1">
      <alignment horizontal="center" wrapText="1"/>
    </xf>
    <xf numFmtId="1" fontId="1" fillId="3" borderId="7" xfId="0" applyNumberFormat="1" applyFont="1" applyFill="1" applyBorder="1" applyAlignment="1">
      <alignment horizontal="center" wrapText="1"/>
    </xf>
    <xf numFmtId="0" fontId="1" fillId="3" borderId="5" xfId="0" applyFont="1" applyFill="1" applyBorder="1" applyAlignment="1">
      <alignment horizontal="center" wrapText="1"/>
    </xf>
    <xf numFmtId="9" fontId="1" fillId="3" borderId="7" xfId="0" applyNumberFormat="1" applyFont="1" applyFill="1" applyBorder="1" applyAlignment="1">
      <alignment horizontal="center" wrapText="1"/>
    </xf>
    <xf numFmtId="3" fontId="1" fillId="3" borderId="7" xfId="0" applyNumberFormat="1" applyFont="1" applyFill="1" applyBorder="1" applyAlignment="1">
      <alignment horizontal="center" wrapText="1"/>
    </xf>
    <xf numFmtId="164" fontId="1" fillId="3" borderId="7" xfId="0" applyNumberFormat="1" applyFont="1" applyFill="1" applyBorder="1" applyAlignment="1">
      <alignment horizontal="center" wrapText="1"/>
    </xf>
    <xf numFmtId="9" fontId="0" fillId="7" borderId="1" xfId="0" applyNumberFormat="1" applyFont="1" applyFill="1" applyBorder="1" applyAlignment="1">
      <alignment horizontal="left"/>
    </xf>
    <xf numFmtId="9" fontId="0" fillId="8" borderId="1" xfId="0" applyNumberFormat="1" applyFont="1" applyFill="1" applyBorder="1" applyAlignment="1">
      <alignment horizontal="left"/>
    </xf>
    <xf numFmtId="2" fontId="0" fillId="8" borderId="1" xfId="0" applyNumberFormat="1" applyFont="1" applyFill="1" applyBorder="1" applyAlignment="1">
      <alignment horizontal="left"/>
    </xf>
    <xf numFmtId="9" fontId="0" fillId="9" borderId="1" xfId="0" applyNumberFormat="1" applyFont="1" applyFill="1" applyBorder="1" applyAlignment="1">
      <alignment horizontal="left"/>
    </xf>
    <xf numFmtId="2" fontId="0" fillId="7" borderId="1" xfId="0" applyNumberFormat="1" applyFont="1" applyFill="1" applyBorder="1" applyAlignment="1">
      <alignment horizontal="left"/>
    </xf>
    <xf numFmtId="2" fontId="0" fillId="9" borderId="1" xfId="0" applyNumberFormat="1" applyFont="1" applyFill="1" applyBorder="1" applyAlignment="1">
      <alignment horizontal="left"/>
    </xf>
    <xf numFmtId="164" fontId="0" fillId="9" borderId="1" xfId="0" applyNumberFormat="1" applyFont="1" applyFill="1" applyBorder="1" applyAlignment="1"/>
    <xf numFmtId="164" fontId="0" fillId="8" borderId="1" xfId="0" applyNumberFormat="1" applyFont="1" applyFill="1" applyBorder="1" applyAlignment="1"/>
    <xf numFmtId="164" fontId="0" fillId="7" borderId="1" xfId="0" applyNumberFormat="1" applyFont="1" applyFill="1" applyBorder="1" applyAlignment="1"/>
    <xf numFmtId="9" fontId="0" fillId="0" borderId="0" xfId="0" applyNumberFormat="1" applyFont="1"/>
    <xf numFmtId="2" fontId="0" fillId="0" borderId="0" xfId="0" applyNumberFormat="1" applyFont="1"/>
    <xf numFmtId="3" fontId="0" fillId="0" borderId="0" xfId="0" applyNumberFormat="1" applyFont="1"/>
    <xf numFmtId="164" fontId="0" fillId="0" borderId="0" xfId="0" applyNumberFormat="1" applyFont="1"/>
    <xf numFmtId="0" fontId="1" fillId="3" borderId="0" xfId="0" applyFont="1" applyFill="1" applyAlignment="1">
      <alignment horizontal="center" wrapText="1"/>
    </xf>
    <xf numFmtId="0" fontId="1" fillId="3" borderId="0" xfId="0" applyFont="1" applyFill="1" applyAlignment="1">
      <alignment horizontal="center"/>
    </xf>
    <xf numFmtId="164" fontId="1" fillId="0" borderId="0" xfId="0" applyNumberFormat="1" applyFont="1" applyFill="1" applyBorder="1" applyAlignment="1"/>
    <xf numFmtId="164" fontId="1" fillId="0" borderId="23" xfId="0" applyNumberFormat="1" applyFont="1" applyFill="1" applyBorder="1"/>
    <xf numFmtId="164" fontId="1" fillId="0" borderId="22" xfId="0" applyNumberFormat="1" applyFont="1" applyFill="1" applyBorder="1" applyAlignment="1"/>
    <xf numFmtId="9" fontId="0" fillId="0" borderId="0" xfId="0" applyNumberFormat="1" applyFont="1" applyFill="1" applyBorder="1" applyAlignment="1"/>
    <xf numFmtId="164" fontId="0" fillId="0" borderId="22" xfId="0" applyNumberFormat="1" applyFont="1" applyFill="1" applyBorder="1" applyAlignment="1"/>
    <xf numFmtId="9" fontId="0" fillId="0" borderId="0" xfId="0" applyNumberFormat="1" applyFont="1" applyFill="1" applyBorder="1" applyAlignment="1">
      <alignment wrapText="1"/>
    </xf>
    <xf numFmtId="0" fontId="0" fillId="0" borderId="0" xfId="0" applyAlignment="1">
      <alignment wrapText="1"/>
    </xf>
    <xf numFmtId="167" fontId="0" fillId="0" borderId="23" xfId="0" applyNumberFormat="1" applyFont="1" applyFill="1" applyBorder="1" applyAlignment="1">
      <alignment horizontal="center"/>
    </xf>
    <xf numFmtId="4" fontId="0" fillId="0" borderId="23" xfId="0" applyNumberFormat="1" applyFont="1" applyFill="1" applyBorder="1" applyAlignment="1">
      <alignment horizontal="center"/>
    </xf>
    <xf numFmtId="164" fontId="1" fillId="0" borderId="2" xfId="0" applyNumberFormat="1" applyFont="1" applyFill="1" applyBorder="1" applyAlignment="1"/>
    <xf numFmtId="164" fontId="0" fillId="0" borderId="1" xfId="0" applyNumberFormat="1" applyFont="1" applyFill="1" applyBorder="1" applyAlignment="1"/>
    <xf numFmtId="2" fontId="0" fillId="0" borderId="1" xfId="0" applyNumberFormat="1" applyFont="1" applyFill="1" applyBorder="1" applyAlignment="1"/>
    <xf numFmtId="0" fontId="0" fillId="0" borderId="0" xfId="0" applyBorder="1" applyAlignment="1">
      <alignment horizontal="right"/>
    </xf>
    <xf numFmtId="3" fontId="0" fillId="0" borderId="0" xfId="0" applyNumberFormat="1" applyBorder="1"/>
    <xf numFmtId="1" fontId="0" fillId="0" borderId="0" xfId="0" applyNumberFormat="1" applyBorder="1"/>
    <xf numFmtId="9" fontId="0" fillId="0" borderId="0" xfId="0" applyNumberFormat="1" applyBorder="1"/>
    <xf numFmtId="164" fontId="0" fillId="0" borderId="0" xfId="0" applyNumberFormat="1" applyBorder="1"/>
    <xf numFmtId="0" fontId="0" fillId="3" borderId="1" xfId="0" applyFill="1" applyBorder="1" applyAlignment="1">
      <alignment horizontal="left"/>
    </xf>
    <xf numFmtId="0" fontId="0" fillId="0" borderId="24" xfId="0" applyBorder="1"/>
    <xf numFmtId="3" fontId="0" fillId="0" borderId="24" xfId="0" applyNumberFormat="1" applyBorder="1"/>
    <xf numFmtId="0" fontId="1" fillId="0" borderId="1" xfId="0" applyFont="1" applyBorder="1" applyAlignment="1">
      <alignment wrapText="1"/>
    </xf>
    <xf numFmtId="0" fontId="0" fillId="0" borderId="1" xfId="0" applyBorder="1" applyAlignment="1">
      <alignment wrapText="1"/>
    </xf>
    <xf numFmtId="0" fontId="0" fillId="0" borderId="18" xfId="0" applyBorder="1"/>
    <xf numFmtId="164" fontId="1" fillId="0" borderId="20" xfId="0" applyNumberFormat="1" applyFont="1" applyFill="1" applyBorder="1" applyAlignment="1">
      <alignment horizontal="center"/>
    </xf>
    <xf numFmtId="0" fontId="0" fillId="0" borderId="1" xfId="0" applyBorder="1" applyAlignment="1">
      <alignment horizontal="left"/>
    </xf>
    <xf numFmtId="0" fontId="1" fillId="0" borderId="2" xfId="0" applyFont="1" applyBorder="1" applyAlignment="1">
      <alignment horizontal="left"/>
    </xf>
    <xf numFmtId="0" fontId="1" fillId="3" borderId="2" xfId="0" applyFont="1" applyFill="1" applyBorder="1" applyAlignment="1">
      <alignment horizontal="left"/>
    </xf>
    <xf numFmtId="0" fontId="1" fillId="6" borderId="2" xfId="0" applyFont="1" applyFill="1" applyBorder="1" applyAlignment="1">
      <alignment horizontal="left"/>
    </xf>
    <xf numFmtId="0" fontId="1" fillId="3" borderId="1" xfId="0" applyFont="1" applyFill="1" applyBorder="1" applyAlignment="1"/>
    <xf numFmtId="166" fontId="1" fillId="0" borderId="1" xfId="0" applyNumberFormat="1" applyFont="1" applyFill="1" applyBorder="1" applyAlignment="1"/>
    <xf numFmtId="0" fontId="0" fillId="0" borderId="0" xfId="0" applyFill="1" applyBorder="1" applyAlignment="1"/>
    <xf numFmtId="4" fontId="0" fillId="0" borderId="0" xfId="0" applyNumberFormat="1" applyFill="1" applyBorder="1" applyAlignment="1"/>
    <xf numFmtId="164" fontId="0" fillId="0" borderId="0" xfId="0" applyNumberFormat="1" applyFill="1" applyBorder="1" applyAlignment="1"/>
    <xf numFmtId="164" fontId="0" fillId="0" borderId="0" xfId="0" applyNumberFormat="1" applyFont="1" applyFill="1" applyBorder="1" applyAlignment="1"/>
    <xf numFmtId="9" fontId="0" fillId="2" borderId="5" xfId="0" applyNumberFormat="1" applyFont="1" applyFill="1" applyBorder="1" applyAlignment="1">
      <alignment horizontal="center" wrapText="1"/>
    </xf>
    <xf numFmtId="3" fontId="0" fillId="0" borderId="0" xfId="0" applyNumberFormat="1" applyFont="1" applyBorder="1"/>
    <xf numFmtId="164" fontId="0" fillId="0" borderId="0" xfId="0" applyNumberFormat="1" applyFont="1" applyBorder="1"/>
    <xf numFmtId="3" fontId="1" fillId="3" borderId="0" xfId="0" applyNumberFormat="1" applyFont="1" applyFill="1" applyBorder="1"/>
    <xf numFmtId="164" fontId="1" fillId="3" borderId="0" xfId="0" applyNumberFormat="1" applyFont="1" applyFill="1" applyBorder="1"/>
    <xf numFmtId="0" fontId="1" fillId="3" borderId="0" xfId="0" applyFont="1" applyFill="1" applyBorder="1"/>
    <xf numFmtId="0" fontId="0" fillId="3" borderId="0" xfId="0" applyFill="1" applyBorder="1"/>
    <xf numFmtId="3" fontId="1" fillId="3" borderId="9" xfId="0" applyNumberFormat="1" applyFont="1" applyFill="1" applyBorder="1"/>
    <xf numFmtId="0" fontId="1" fillId="3" borderId="9" xfId="0" applyFont="1" applyFill="1" applyBorder="1" applyAlignment="1">
      <alignment horizontal="center" wrapText="1"/>
    </xf>
    <xf numFmtId="164" fontId="1" fillId="0" borderId="23" xfId="0" applyNumberFormat="1" applyFont="1" applyFill="1" applyBorder="1" applyAlignment="1">
      <alignment horizontal="center"/>
    </xf>
    <xf numFmtId="164" fontId="0" fillId="0" borderId="1" xfId="0" applyNumberFormat="1" applyBorder="1" applyAlignment="1">
      <alignment horizontal="center"/>
    </xf>
    <xf numFmtId="0" fontId="0" fillId="0" borderId="3" xfId="0" applyBorder="1"/>
    <xf numFmtId="164" fontId="0" fillId="0" borderId="1" xfId="0" applyNumberFormat="1" applyFont="1" applyFill="1" applyBorder="1" applyAlignment="1">
      <alignment horizontal="center"/>
    </xf>
    <xf numFmtId="3" fontId="0" fillId="0" borderId="1" xfId="0" applyNumberFormat="1" applyFont="1" applyFill="1" applyBorder="1" applyAlignment="1">
      <alignment horizontal="center"/>
    </xf>
    <xf numFmtId="164" fontId="0" fillId="10" borderId="1" xfId="0" applyNumberFormat="1" applyFont="1" applyFill="1" applyBorder="1" applyAlignment="1">
      <alignment horizontal="center"/>
    </xf>
    <xf numFmtId="164" fontId="0" fillId="11" borderId="1" xfId="0" applyNumberFormat="1" applyFont="1" applyFill="1" applyBorder="1" applyAlignment="1">
      <alignment horizontal="center"/>
    </xf>
    <xf numFmtId="3" fontId="0" fillId="11" borderId="1" xfId="0" applyNumberFormat="1" applyFont="1" applyFill="1" applyBorder="1" applyAlignment="1">
      <alignment horizontal="center"/>
    </xf>
    <xf numFmtId="167" fontId="0" fillId="11" borderId="1" xfId="0" applyNumberFormat="1" applyFont="1" applyFill="1" applyBorder="1" applyAlignment="1">
      <alignment horizontal="center"/>
    </xf>
    <xf numFmtId="167" fontId="0" fillId="10" borderId="1" xfId="0" applyNumberFormat="1" applyFont="1" applyFill="1" applyBorder="1" applyAlignment="1">
      <alignment horizontal="center"/>
    </xf>
    <xf numFmtId="0" fontId="1" fillId="3" borderId="30" xfId="0" applyFont="1" applyFill="1" applyBorder="1" applyAlignment="1">
      <alignment horizontal="left"/>
    </xf>
    <xf numFmtId="0" fontId="1" fillId="3" borderId="32" xfId="0" applyFont="1" applyFill="1" applyBorder="1" applyAlignment="1">
      <alignment horizontal="left"/>
    </xf>
    <xf numFmtId="0" fontId="1" fillId="6" borderId="27" xfId="0" applyFont="1" applyFill="1" applyBorder="1" applyAlignment="1">
      <alignment horizontal="left"/>
    </xf>
    <xf numFmtId="9" fontId="0" fillId="9" borderId="29" xfId="0" applyNumberFormat="1" applyFont="1" applyFill="1" applyBorder="1" applyAlignment="1">
      <alignment horizontal="left"/>
    </xf>
    <xf numFmtId="9" fontId="0" fillId="8" borderId="29" xfId="0" applyNumberFormat="1" applyFont="1" applyFill="1" applyBorder="1" applyAlignment="1">
      <alignment horizontal="left"/>
    </xf>
    <xf numFmtId="9" fontId="0" fillId="7" borderId="29" xfId="0" applyNumberFormat="1" applyFont="1" applyFill="1" applyBorder="1" applyAlignment="1">
      <alignment horizontal="left"/>
    </xf>
    <xf numFmtId="0" fontId="1" fillId="6" borderId="28" xfId="0" applyFont="1" applyFill="1" applyBorder="1" applyAlignment="1">
      <alignment horizontal="left"/>
    </xf>
    <xf numFmtId="0" fontId="1" fillId="6" borderId="33" xfId="0" applyFont="1" applyFill="1" applyBorder="1" applyAlignment="1">
      <alignment horizontal="left"/>
    </xf>
    <xf numFmtId="164" fontId="0" fillId="11" borderId="29" xfId="0" applyNumberFormat="1" applyFont="1" applyFill="1" applyBorder="1" applyAlignment="1">
      <alignment horizontal="center"/>
    </xf>
    <xf numFmtId="164" fontId="0" fillId="6" borderId="32" xfId="0" applyNumberFormat="1" applyFont="1" applyFill="1" applyBorder="1" applyAlignment="1">
      <alignment horizontal="center"/>
    </xf>
    <xf numFmtId="3" fontId="0" fillId="10" borderId="1" xfId="0" applyNumberFormat="1" applyFont="1" applyFill="1" applyBorder="1" applyAlignment="1">
      <alignment horizontal="center"/>
    </xf>
    <xf numFmtId="164" fontId="1" fillId="3" borderId="2" xfId="0" applyNumberFormat="1" applyFont="1" applyFill="1" applyBorder="1" applyAlignment="1">
      <alignment horizontal="right"/>
    </xf>
    <xf numFmtId="164" fontId="1" fillId="3" borderId="4" xfId="0" applyNumberFormat="1" applyFont="1" applyFill="1" applyBorder="1" applyAlignment="1">
      <alignment horizontal="right"/>
    </xf>
    <xf numFmtId="164" fontId="0" fillId="0" borderId="2" xfId="0" applyNumberFormat="1" applyFill="1" applyBorder="1" applyAlignment="1">
      <alignment horizontal="right"/>
    </xf>
    <xf numFmtId="164" fontId="0" fillId="0" borderId="4" xfId="0" applyNumberFormat="1" applyFill="1" applyBorder="1" applyAlignment="1">
      <alignment horizontal="right"/>
    </xf>
    <xf numFmtId="164" fontId="1" fillId="5" borderId="2" xfId="0" applyNumberFormat="1" applyFont="1" applyFill="1" applyBorder="1" applyAlignment="1">
      <alignment horizontal="right"/>
    </xf>
    <xf numFmtId="164" fontId="1" fillId="5" borderId="4" xfId="0" applyNumberFormat="1" applyFont="1" applyFill="1" applyBorder="1" applyAlignment="1">
      <alignment horizontal="right"/>
    </xf>
    <xf numFmtId="0" fontId="1" fillId="3" borderId="2" xfId="0" applyFont="1" applyFill="1" applyBorder="1" applyAlignment="1">
      <alignment horizontal="center" wrapText="1"/>
    </xf>
    <xf numFmtId="0" fontId="1" fillId="3" borderId="4" xfId="0" applyFont="1" applyFill="1" applyBorder="1" applyAlignment="1">
      <alignment horizontal="center"/>
    </xf>
    <xf numFmtId="0" fontId="0" fillId="0" borderId="3" xfId="0" applyBorder="1" applyAlignment="1">
      <alignment horizontal="center"/>
    </xf>
    <xf numFmtId="0" fontId="1" fillId="3" borderId="14" xfId="0" applyFont="1" applyFill="1" applyBorder="1" applyAlignment="1">
      <alignment horizontal="center"/>
    </xf>
    <xf numFmtId="0" fontId="1" fillId="3" borderId="3" xfId="0" applyFont="1" applyFill="1" applyBorder="1" applyAlignment="1">
      <alignment horizontal="center"/>
    </xf>
    <xf numFmtId="0" fontId="1" fillId="3" borderId="16" xfId="0" applyFont="1" applyFill="1" applyBorder="1" applyAlignment="1">
      <alignment horizontal="center"/>
    </xf>
    <xf numFmtId="1" fontId="1" fillId="3" borderId="30" xfId="0" applyNumberFormat="1" applyFont="1" applyFill="1" applyBorder="1" applyAlignment="1">
      <alignment horizontal="center"/>
    </xf>
    <xf numFmtId="1" fontId="1" fillId="3" borderId="34" xfId="0" applyNumberFormat="1" applyFont="1" applyFill="1" applyBorder="1" applyAlignment="1">
      <alignment horizontal="center"/>
    </xf>
    <xf numFmtId="0" fontId="1" fillId="0" borderId="2" xfId="0" applyFont="1" applyBorder="1" applyAlignment="1">
      <alignment horizontal="left"/>
    </xf>
    <xf numFmtId="0" fontId="1" fillId="0" borderId="3" xfId="0" applyFont="1" applyBorder="1" applyAlignment="1">
      <alignment horizontal="left"/>
    </xf>
    <xf numFmtId="0" fontId="1" fillId="0" borderId="4" xfId="0" applyFont="1" applyBorder="1" applyAlignment="1">
      <alignment horizontal="left"/>
    </xf>
    <xf numFmtId="164" fontId="0" fillId="0" borderId="2" xfId="0" applyNumberFormat="1" applyFill="1" applyBorder="1" applyAlignment="1">
      <alignment horizontal="center"/>
    </xf>
    <xf numFmtId="164" fontId="0" fillId="0" borderId="4" xfId="0" applyNumberFormat="1" applyFill="1" applyBorder="1" applyAlignment="1">
      <alignment horizontal="center"/>
    </xf>
    <xf numFmtId="164" fontId="1" fillId="0" borderId="2" xfId="0" applyNumberFormat="1" applyFont="1" applyFill="1" applyBorder="1" applyAlignment="1">
      <alignment horizontal="left"/>
    </xf>
    <xf numFmtId="164" fontId="1" fillId="0" borderId="3" xfId="0" applyNumberFormat="1" applyFont="1" applyFill="1" applyBorder="1" applyAlignment="1">
      <alignment horizontal="left"/>
    </xf>
    <xf numFmtId="164" fontId="1" fillId="0" borderId="4" xfId="0" applyNumberFormat="1" applyFont="1" applyFill="1" applyBorder="1" applyAlignment="1">
      <alignment horizontal="left"/>
    </xf>
    <xf numFmtId="164" fontId="1" fillId="3" borderId="2" xfId="0" applyNumberFormat="1" applyFont="1" applyFill="1" applyBorder="1" applyAlignment="1">
      <alignment horizontal="left"/>
    </xf>
    <xf numFmtId="164" fontId="1" fillId="3" borderId="3" xfId="0" applyNumberFormat="1" applyFont="1" applyFill="1" applyBorder="1" applyAlignment="1">
      <alignment horizontal="left"/>
    </xf>
    <xf numFmtId="164" fontId="1" fillId="3" borderId="27" xfId="0" applyNumberFormat="1" applyFont="1" applyFill="1" applyBorder="1" applyAlignment="1">
      <alignment horizontal="left"/>
    </xf>
    <xf numFmtId="164" fontId="1" fillId="3" borderId="28" xfId="0" applyNumberFormat="1" applyFont="1" applyFill="1" applyBorder="1" applyAlignment="1">
      <alignment horizontal="left"/>
    </xf>
    <xf numFmtId="164" fontId="1" fillId="0" borderId="30" xfId="0" applyNumberFormat="1" applyFont="1" applyFill="1" applyBorder="1" applyAlignment="1">
      <alignment horizontal="left"/>
    </xf>
    <xf numFmtId="164" fontId="1" fillId="0" borderId="31" xfId="0" applyNumberFormat="1" applyFont="1" applyFill="1" applyBorder="1" applyAlignment="1">
      <alignment horizontal="left"/>
    </xf>
    <xf numFmtId="1" fontId="0" fillId="2" borderId="27" xfId="0" applyNumberFormat="1" applyFill="1" applyBorder="1" applyAlignment="1">
      <alignment horizontal="center"/>
    </xf>
    <xf numFmtId="1" fontId="0" fillId="2" borderId="33" xfId="0" applyNumberFormat="1" applyFill="1" applyBorder="1" applyAlignment="1">
      <alignment horizontal="center"/>
    </xf>
    <xf numFmtId="3" fontId="0" fillId="0" borderId="2" xfId="0" applyNumberFormat="1" applyFill="1" applyBorder="1" applyAlignment="1">
      <alignment horizontal="center"/>
    </xf>
    <xf numFmtId="3" fontId="0" fillId="0" borderId="4" xfId="0" applyNumberFormat="1" applyFill="1" applyBorder="1" applyAlignment="1">
      <alignment horizontal="center"/>
    </xf>
    <xf numFmtId="0" fontId="1" fillId="3" borderId="11" xfId="0" applyFont="1" applyFill="1" applyBorder="1" applyAlignment="1">
      <alignment horizontal="center"/>
    </xf>
    <xf numFmtId="0" fontId="1" fillId="3" borderId="12" xfId="0" applyFont="1" applyFill="1" applyBorder="1" applyAlignment="1">
      <alignment horizontal="center"/>
    </xf>
    <xf numFmtId="0" fontId="1" fillId="3" borderId="21" xfId="0" applyFont="1" applyFill="1" applyBorder="1" applyAlignment="1">
      <alignment horizontal="center"/>
    </xf>
    <xf numFmtId="167" fontId="0" fillId="0" borderId="2" xfId="0" applyNumberFormat="1" applyFont="1" applyFill="1" applyBorder="1" applyAlignment="1">
      <alignment horizontal="center"/>
    </xf>
    <xf numFmtId="167" fontId="0" fillId="0" borderId="4" xfId="0" applyNumberFormat="1" applyFont="1" applyFill="1" applyBorder="1" applyAlignment="1">
      <alignment horizontal="center"/>
    </xf>
    <xf numFmtId="9" fontId="1" fillId="3" borderId="30" xfId="0" applyNumberFormat="1" applyFont="1" applyFill="1" applyBorder="1" applyAlignment="1">
      <alignment horizontal="center"/>
    </xf>
    <xf numFmtId="9" fontId="1" fillId="3" borderId="34" xfId="0" applyNumberFormat="1" applyFont="1" applyFill="1" applyBorder="1" applyAlignment="1">
      <alignment horizontal="center"/>
    </xf>
    <xf numFmtId="164" fontId="0" fillId="0" borderId="7" xfId="0" applyNumberFormat="1" applyFill="1" applyBorder="1" applyAlignment="1">
      <alignment horizontal="center"/>
    </xf>
    <xf numFmtId="164" fontId="0" fillId="0" borderId="6" xfId="0" applyNumberFormat="1" applyFill="1" applyBorder="1" applyAlignment="1">
      <alignment horizontal="center"/>
    </xf>
    <xf numFmtId="4" fontId="0" fillId="0" borderId="2" xfId="0" applyNumberFormat="1" applyFill="1" applyBorder="1" applyAlignment="1">
      <alignment horizontal="center"/>
    </xf>
    <xf numFmtId="4" fontId="0" fillId="0" borderId="3" xfId="0" applyNumberFormat="1" applyFill="1" applyBorder="1" applyAlignment="1">
      <alignment horizontal="center"/>
    </xf>
    <xf numFmtId="0" fontId="1" fillId="3" borderId="30" xfId="0" applyFont="1" applyFill="1" applyBorder="1" applyAlignment="1">
      <alignment horizontal="left"/>
    </xf>
    <xf numFmtId="0" fontId="1" fillId="3" borderId="31" xfId="0" applyFont="1" applyFill="1" applyBorder="1" applyAlignment="1">
      <alignment horizontal="left"/>
    </xf>
    <xf numFmtId="0" fontId="1" fillId="3" borderId="34" xfId="0" applyFont="1" applyFill="1" applyBorder="1" applyAlignment="1">
      <alignment horizontal="left"/>
    </xf>
    <xf numFmtId="9" fontId="0" fillId="2" borderId="2" xfId="0" applyNumberFormat="1" applyFill="1" applyBorder="1" applyAlignment="1">
      <alignment horizontal="center"/>
    </xf>
    <xf numFmtId="9" fontId="0" fillId="2" borderId="4" xfId="0" applyNumberFormat="1" applyFill="1" applyBorder="1" applyAlignment="1">
      <alignment horizontal="center"/>
    </xf>
    <xf numFmtId="4" fontId="0" fillId="2" borderId="2" xfId="0" applyNumberFormat="1" applyFill="1" applyBorder="1" applyAlignment="1">
      <alignment horizontal="center"/>
    </xf>
    <xf numFmtId="4" fontId="0" fillId="2" borderId="4" xfId="0" applyNumberFormat="1" applyFill="1" applyBorder="1" applyAlignment="1">
      <alignment horizontal="center"/>
    </xf>
    <xf numFmtId="9" fontId="1" fillId="3" borderId="2" xfId="0" applyNumberFormat="1" applyFont="1" applyFill="1" applyBorder="1" applyAlignment="1">
      <alignment horizontal="center"/>
    </xf>
    <xf numFmtId="9" fontId="1" fillId="3" borderId="4" xfId="0" applyNumberFormat="1" applyFont="1" applyFill="1" applyBorder="1" applyAlignment="1">
      <alignment horizontal="center"/>
    </xf>
    <xf numFmtId="9" fontId="0" fillId="6" borderId="1" xfId="0" applyNumberFormat="1" applyFont="1" applyFill="1" applyBorder="1" applyAlignment="1">
      <alignment horizontal="center"/>
    </xf>
    <xf numFmtId="4" fontId="1" fillId="3" borderId="2" xfId="0" applyNumberFormat="1" applyFont="1" applyFill="1" applyBorder="1" applyAlignment="1">
      <alignment horizontal="center"/>
    </xf>
    <xf numFmtId="4" fontId="1" fillId="3" borderId="4" xfId="0" applyNumberFormat="1" applyFont="1" applyFill="1" applyBorder="1" applyAlignment="1">
      <alignment horizontal="center"/>
    </xf>
    <xf numFmtId="164" fontId="0" fillId="2" borderId="2" xfId="0" applyNumberFormat="1" applyFill="1" applyBorder="1" applyAlignment="1">
      <alignment horizontal="center"/>
    </xf>
    <xf numFmtId="164" fontId="0" fillId="2" borderId="4" xfId="0" applyNumberFormat="1" applyFill="1" applyBorder="1" applyAlignment="1">
      <alignment horizontal="center"/>
    </xf>
    <xf numFmtId="164" fontId="1" fillId="0" borderId="2" xfId="0" applyNumberFormat="1" applyFont="1" applyFill="1" applyBorder="1" applyAlignment="1">
      <alignment horizontal="center"/>
    </xf>
    <xf numFmtId="164" fontId="1" fillId="0" borderId="3" xfId="0" applyNumberFormat="1" applyFont="1" applyFill="1" applyBorder="1" applyAlignment="1">
      <alignment horizontal="center"/>
    </xf>
    <xf numFmtId="0" fontId="1" fillId="0" borderId="27" xfId="0" applyFont="1" applyBorder="1" applyAlignment="1">
      <alignment horizontal="left"/>
    </xf>
    <xf numFmtId="0" fontId="1" fillId="0" borderId="28" xfId="0" applyFont="1" applyBorder="1" applyAlignment="1">
      <alignment horizontal="left"/>
    </xf>
    <xf numFmtId="0" fontId="1" fillId="0" borderId="33" xfId="0" applyFont="1" applyBorder="1" applyAlignment="1">
      <alignment horizontal="left"/>
    </xf>
    <xf numFmtId="0" fontId="1" fillId="3" borderId="1" xfId="0" applyFont="1" applyFill="1" applyBorder="1" applyAlignment="1">
      <alignment horizontal="left" wrapText="1"/>
    </xf>
    <xf numFmtId="4" fontId="0" fillId="3" borderId="1" xfId="0" applyNumberFormat="1" applyFill="1" applyBorder="1" applyAlignment="1">
      <alignment horizontal="center"/>
    </xf>
    <xf numFmtId="0" fontId="1" fillId="4" borderId="19" xfId="0" applyFont="1" applyFill="1" applyBorder="1" applyAlignment="1">
      <alignment horizontal="center" wrapText="1"/>
    </xf>
    <xf numFmtId="0" fontId="1" fillId="4" borderId="18" xfId="0" applyFont="1" applyFill="1" applyBorder="1" applyAlignment="1">
      <alignment horizontal="center" wrapText="1"/>
    </xf>
    <xf numFmtId="0" fontId="1" fillId="3" borderId="2" xfId="0" applyFont="1" applyFill="1" applyBorder="1" applyAlignment="1">
      <alignment horizontal="left"/>
    </xf>
    <xf numFmtId="0" fontId="1" fillId="3" borderId="3" xfId="0" applyFont="1" applyFill="1" applyBorder="1" applyAlignment="1">
      <alignment horizontal="left"/>
    </xf>
    <xf numFmtId="0" fontId="1" fillId="3" borderId="4" xfId="0" applyFont="1" applyFill="1" applyBorder="1" applyAlignment="1">
      <alignment horizontal="left"/>
    </xf>
    <xf numFmtId="0" fontId="1" fillId="0" borderId="7" xfId="0" applyFont="1" applyBorder="1" applyAlignment="1">
      <alignment horizontal="left"/>
    </xf>
    <xf numFmtId="0" fontId="1" fillId="0" borderId="6" xfId="0" applyFont="1" applyBorder="1" applyAlignment="1">
      <alignment horizontal="left"/>
    </xf>
    <xf numFmtId="0" fontId="1" fillId="0" borderId="8" xfId="0" applyFont="1" applyBorder="1" applyAlignment="1">
      <alignment horizontal="left"/>
    </xf>
    <xf numFmtId="9" fontId="0" fillId="0" borderId="1" xfId="0" applyNumberFormat="1" applyFill="1" applyBorder="1" applyAlignment="1">
      <alignment horizontal="center"/>
    </xf>
    <xf numFmtId="9" fontId="0" fillId="0" borderId="29" xfId="0" applyNumberFormat="1" applyFill="1" applyBorder="1" applyAlignment="1">
      <alignment horizontal="center"/>
    </xf>
    <xf numFmtId="0" fontId="1" fillId="4" borderId="25" xfId="0" applyFont="1" applyFill="1" applyBorder="1" applyAlignment="1">
      <alignment horizontal="center" wrapText="1"/>
    </xf>
    <xf numFmtId="0" fontId="1" fillId="4" borderId="24" xfId="0" applyFont="1" applyFill="1" applyBorder="1" applyAlignment="1">
      <alignment horizontal="center" wrapText="1"/>
    </xf>
    <xf numFmtId="0" fontId="1" fillId="4" borderId="26" xfId="0" applyFont="1" applyFill="1" applyBorder="1" applyAlignment="1">
      <alignment horizontal="center" wrapText="1"/>
    </xf>
    <xf numFmtId="9" fontId="0" fillId="2" borderId="3" xfId="0" applyNumberFormat="1" applyFill="1" applyBorder="1" applyAlignment="1">
      <alignment horizontal="center"/>
    </xf>
    <xf numFmtId="166" fontId="1" fillId="3" borderId="2" xfId="0" applyNumberFormat="1" applyFont="1" applyFill="1" applyBorder="1" applyAlignment="1">
      <alignment horizontal="center"/>
    </xf>
    <xf numFmtId="166" fontId="1" fillId="3" borderId="4" xfId="0" applyNumberFormat="1" applyFont="1" applyFill="1" applyBorder="1" applyAlignment="1">
      <alignment horizontal="center"/>
    </xf>
    <xf numFmtId="9" fontId="0" fillId="6" borderId="29" xfId="0" applyNumberFormat="1" applyFont="1" applyFill="1" applyBorder="1" applyAlignment="1">
      <alignment horizontal="center"/>
    </xf>
    <xf numFmtId="164" fontId="0" fillId="3" borderId="30" xfId="0" applyNumberFormat="1" applyFill="1" applyBorder="1" applyAlignment="1">
      <alignment horizontal="center"/>
    </xf>
    <xf numFmtId="164" fontId="0" fillId="3" borderId="34" xfId="0" applyNumberFormat="1" applyFill="1" applyBorder="1" applyAlignment="1">
      <alignment horizontal="center"/>
    </xf>
    <xf numFmtId="164" fontId="0" fillId="0" borderId="2" xfId="0" applyNumberFormat="1" applyFont="1" applyBorder="1" applyAlignment="1">
      <alignment horizontal="right"/>
    </xf>
    <xf numFmtId="164" fontId="0" fillId="0" borderId="4" xfId="0" applyNumberFormat="1" applyFont="1" applyBorder="1" applyAlignment="1">
      <alignment horizontal="right"/>
    </xf>
    <xf numFmtId="164" fontId="0" fillId="3" borderId="2" xfId="0" applyNumberFormat="1" applyFont="1" applyFill="1" applyBorder="1" applyAlignment="1">
      <alignment horizontal="right"/>
    </xf>
    <xf numFmtId="164" fontId="0" fillId="3" borderId="4" xfId="0" applyNumberFormat="1" applyFont="1" applyFill="1" applyBorder="1" applyAlignment="1">
      <alignment horizontal="right"/>
    </xf>
    <xf numFmtId="0" fontId="0" fillId="0" borderId="2" xfId="0" applyBorder="1" applyAlignment="1">
      <alignment horizontal="left"/>
    </xf>
    <xf numFmtId="0" fontId="0" fillId="0" borderId="4" xfId="0" applyBorder="1" applyAlignment="1">
      <alignment horizontal="left"/>
    </xf>
    <xf numFmtId="0" fontId="1" fillId="3" borderId="6" xfId="0" applyFont="1" applyFill="1" applyBorder="1" applyAlignment="1">
      <alignment horizontal="center"/>
    </xf>
    <xf numFmtId="0" fontId="0" fillId="0" borderId="1" xfId="0" applyBorder="1" applyAlignment="1">
      <alignment horizontal="left"/>
    </xf>
    <xf numFmtId="4" fontId="0" fillId="0" borderId="1" xfId="0" applyNumberFormat="1" applyBorder="1" applyAlignment="1">
      <alignment horizontal="right"/>
    </xf>
    <xf numFmtId="164" fontId="0" fillId="0" borderId="2" xfId="0" applyNumberFormat="1" applyBorder="1" applyAlignment="1">
      <alignment horizontal="right"/>
    </xf>
    <xf numFmtId="164" fontId="0" fillId="0" borderId="4" xfId="0" applyNumberFormat="1" applyBorder="1" applyAlignment="1">
      <alignment horizontal="right"/>
    </xf>
  </cellXfs>
  <cellStyles count="3">
    <cellStyle name="Currency" xfId="1" builtinId="4"/>
    <cellStyle name="Normal" xfId="0" builtinId="0"/>
    <cellStyle name="Percent" xfId="2" builtinId="5"/>
  </cellStyles>
  <dxfs count="0"/>
  <tableStyles count="0" defaultTableStyle="TableStyleMedium2" defaultPivotStyle="PivotStyleLight16"/>
  <colors>
    <mruColors>
      <color rgb="FFB381D9"/>
      <color rgb="FFFF33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Funding: Enrollment v. Performance</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Lbl>
              <c:idx val="0"/>
              <c:spPr>
                <a:noFill/>
                <a:ln>
                  <a:noFill/>
                </a:ln>
                <a:effectLst/>
              </c:spPr>
              <c:txPr>
                <a:bodyPr rot="0" spcFirstLastPara="1" vertOverflow="clip" horzOverflow="clip" vert="horz" wrap="non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0-0B64-4194-8F7E-5CCFAC7A539C}"/>
                </c:ext>
              </c:extLst>
            </c:dLbl>
            <c:dLbl>
              <c:idx val="1"/>
              <c:spPr>
                <a:noFill/>
                <a:ln>
                  <a:noFill/>
                </a:ln>
                <a:effectLst/>
              </c:spPr>
              <c:txPr>
                <a:bodyPr rot="0" spcFirstLastPara="1" vertOverflow="clip" horzOverflow="clip" vert="horz" wrap="non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0-B6B7-409A-AC23-CC26C8D01C42}"/>
                </c:ext>
              </c:extLst>
            </c:dLbl>
            <c:spPr>
              <a:noFill/>
              <a:ln>
                <a:noFill/>
              </a:ln>
              <a:effectLst/>
            </c:spPr>
            <c:txPr>
              <a:bodyPr rot="0" spcFirstLastPara="1" vertOverflow="clip" horzOverflow="clip" vert="horz" wrap="non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Modeling!$V$3:$V$4</c:f>
              <c:numCache>
                <c:formatCode>General</c:formatCode>
                <c:ptCount val="2"/>
              </c:numCache>
            </c:numRef>
          </c:cat>
          <c:val>
            <c:numRef>
              <c:f>Modeling!$M$4:$M$5</c:f>
              <c:numCache>
                <c:formatCode>"$"#,##0</c:formatCode>
                <c:ptCount val="2"/>
                <c:pt idx="0">
                  <c:v>210168990.37701759</c:v>
                </c:pt>
                <c:pt idx="1">
                  <c:v>219514505.15858898</c:v>
                </c:pt>
              </c:numCache>
            </c:numRef>
          </c:val>
          <c:extLst>
            <c:ext xmlns:c16="http://schemas.microsoft.com/office/drawing/2014/chart" uri="{C3380CC4-5D6E-409C-BE32-E72D297353CC}">
              <c16:uniqueId val="{00000000-E82A-4A7F-BD3C-CB3E9630E4F9}"/>
            </c:ext>
          </c:extLst>
        </c:ser>
        <c:dLbls>
          <c:showLegendKey val="0"/>
          <c:showVal val="0"/>
          <c:showCatName val="0"/>
          <c:showSerName val="0"/>
          <c:showPercent val="0"/>
          <c:showBubbleSize val="0"/>
        </c:dLbls>
        <c:gapWidth val="20"/>
        <c:overlap val="-27"/>
        <c:axId val="579180104"/>
        <c:axId val="579177152"/>
      </c:barChart>
      <c:catAx>
        <c:axId val="579180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79177152"/>
        <c:crosses val="autoZero"/>
        <c:auto val="1"/>
        <c:lblAlgn val="ctr"/>
        <c:lblOffset val="100"/>
        <c:noMultiLvlLbl val="0"/>
      </c:catAx>
      <c:valAx>
        <c:axId val="579177152"/>
        <c:scaling>
          <c:orientation val="minMax"/>
          <c:min val="0"/>
        </c:scaling>
        <c:delete val="1"/>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crossAx val="5791801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At Risk-Students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Lbl>
              <c:idx val="0"/>
              <c:spPr>
                <a:noFill/>
                <a:ln>
                  <a:noFill/>
                </a:ln>
                <a:effectLst/>
              </c:spPr>
              <c:txPr>
                <a:bodyPr rot="0" spcFirstLastPara="1" vertOverflow="clip" horzOverflow="clip" vert="horz" wrap="non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1-8A00-4456-98DE-3F417973EEE7}"/>
                </c:ext>
              </c:extLst>
            </c:dLbl>
            <c:dLbl>
              <c:idx val="1"/>
              <c:spPr>
                <a:noFill/>
                <a:ln>
                  <a:noFill/>
                </a:ln>
                <a:effectLst/>
              </c:spPr>
              <c:txPr>
                <a:bodyPr rot="0" spcFirstLastPara="1" vertOverflow="clip" horzOverflow="clip" vert="horz" wrap="non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2-8A00-4456-98DE-3F417973EEE7}"/>
                </c:ext>
              </c:extLst>
            </c:dLbl>
            <c:spPr>
              <a:noFill/>
              <a:ln>
                <a:noFill/>
              </a:ln>
              <a:effectLst/>
            </c:spPr>
            <c:txPr>
              <a:bodyPr rot="0" spcFirstLastPara="1" vertOverflow="clip" horzOverflow="clip"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Modeling!$V$3:$V$4</c:f>
              <c:numCache>
                <c:formatCode>General</c:formatCode>
                <c:ptCount val="2"/>
              </c:numCache>
            </c:numRef>
          </c:cat>
          <c:val>
            <c:numRef>
              <c:f>Modeling!$M$16:$M$17</c:f>
              <c:numCache>
                <c:formatCode>"$"#,##0</c:formatCode>
                <c:ptCount val="2"/>
                <c:pt idx="0">
                  <c:v>165974912.12174958</c:v>
                </c:pt>
                <c:pt idx="1">
                  <c:v>172244063.82845029</c:v>
                </c:pt>
              </c:numCache>
            </c:numRef>
          </c:val>
          <c:extLst>
            <c:ext xmlns:c16="http://schemas.microsoft.com/office/drawing/2014/chart" uri="{C3380CC4-5D6E-409C-BE32-E72D297353CC}">
              <c16:uniqueId val="{00000000-8A00-4456-98DE-3F417973EEE7}"/>
            </c:ext>
          </c:extLst>
        </c:ser>
        <c:dLbls>
          <c:showLegendKey val="0"/>
          <c:showVal val="0"/>
          <c:showCatName val="0"/>
          <c:showSerName val="0"/>
          <c:showPercent val="0"/>
          <c:showBubbleSize val="0"/>
        </c:dLbls>
        <c:gapWidth val="20"/>
        <c:overlap val="-27"/>
        <c:axId val="579180104"/>
        <c:axId val="579177152"/>
      </c:barChart>
      <c:catAx>
        <c:axId val="579180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79177152"/>
        <c:crosses val="autoZero"/>
        <c:auto val="1"/>
        <c:lblAlgn val="ctr"/>
        <c:lblOffset val="100"/>
        <c:noMultiLvlLbl val="0"/>
      </c:catAx>
      <c:valAx>
        <c:axId val="579177152"/>
        <c:scaling>
          <c:orientation val="minMax"/>
          <c:min val="0"/>
        </c:scaling>
        <c:delete val="1"/>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crossAx val="5791801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Course</a:t>
            </a:r>
            <a:r>
              <a:rPr lang="en-US" b="1" baseline="0"/>
              <a:t> Successes Per $1 Million</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Modeling!$V$3:$V$4</c:f>
              <c:numCache>
                <c:formatCode>General</c:formatCode>
                <c:ptCount val="2"/>
              </c:numCache>
            </c:numRef>
          </c:cat>
          <c:val>
            <c:numRef>
              <c:f>Modeling!$M$10:$M$11</c:f>
              <c:numCache>
                <c:formatCode>#,##0</c:formatCode>
                <c:ptCount val="2"/>
                <c:pt idx="0">
                  <c:v>644.00062900430953</c:v>
                </c:pt>
                <c:pt idx="1">
                  <c:v>742.54697994667924</c:v>
                </c:pt>
              </c:numCache>
            </c:numRef>
          </c:val>
          <c:extLst>
            <c:ext xmlns:c16="http://schemas.microsoft.com/office/drawing/2014/chart" uri="{C3380CC4-5D6E-409C-BE32-E72D297353CC}">
              <c16:uniqueId val="{00000000-1A66-4A85-B685-05B57EB3BA0E}"/>
            </c:ext>
          </c:extLst>
        </c:ser>
        <c:dLbls>
          <c:showLegendKey val="0"/>
          <c:showVal val="0"/>
          <c:showCatName val="0"/>
          <c:showSerName val="0"/>
          <c:showPercent val="0"/>
          <c:showBubbleSize val="0"/>
        </c:dLbls>
        <c:gapWidth val="20"/>
        <c:overlap val="-27"/>
        <c:axId val="579180104"/>
        <c:axId val="579177152"/>
      </c:barChart>
      <c:catAx>
        <c:axId val="579180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79177152"/>
        <c:crosses val="autoZero"/>
        <c:auto val="1"/>
        <c:lblAlgn val="ctr"/>
        <c:lblOffset val="100"/>
        <c:noMultiLvlLbl val="0"/>
      </c:catAx>
      <c:valAx>
        <c:axId val="579177152"/>
        <c:scaling>
          <c:orientation val="minMax"/>
          <c:min val="0"/>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5791801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At-Risk:</a:t>
            </a:r>
            <a:r>
              <a:rPr lang="en-US" b="1" baseline="0"/>
              <a:t> Successes Per $1 Million</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Modeling!$V$3:$V$4</c:f>
              <c:numCache>
                <c:formatCode>General</c:formatCode>
                <c:ptCount val="2"/>
              </c:numCache>
            </c:numRef>
          </c:cat>
          <c:val>
            <c:numRef>
              <c:f>Modeling!$M$22:$M$23</c:f>
              <c:numCache>
                <c:formatCode>#,##0</c:formatCode>
                <c:ptCount val="2"/>
                <c:pt idx="0">
                  <c:v>553.43654547392885</c:v>
                </c:pt>
                <c:pt idx="1">
                  <c:v>655.95059329608091</c:v>
                </c:pt>
              </c:numCache>
            </c:numRef>
          </c:val>
          <c:extLst>
            <c:ext xmlns:c16="http://schemas.microsoft.com/office/drawing/2014/chart" uri="{C3380CC4-5D6E-409C-BE32-E72D297353CC}">
              <c16:uniqueId val="{00000000-5036-4170-B880-77E93F16D31D}"/>
            </c:ext>
          </c:extLst>
        </c:ser>
        <c:dLbls>
          <c:showLegendKey val="0"/>
          <c:showVal val="0"/>
          <c:showCatName val="0"/>
          <c:showSerName val="0"/>
          <c:showPercent val="0"/>
          <c:showBubbleSize val="0"/>
        </c:dLbls>
        <c:gapWidth val="20"/>
        <c:overlap val="-27"/>
        <c:axId val="579180104"/>
        <c:axId val="579177152"/>
      </c:barChart>
      <c:catAx>
        <c:axId val="579180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79177152"/>
        <c:crosses val="autoZero"/>
        <c:auto val="1"/>
        <c:lblAlgn val="ctr"/>
        <c:lblOffset val="100"/>
        <c:noMultiLvlLbl val="0"/>
      </c:catAx>
      <c:valAx>
        <c:axId val="579177152"/>
        <c:scaling>
          <c:orientation val="minMax"/>
          <c:min val="0"/>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5791801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13</xdr:col>
      <xdr:colOff>171450</xdr:colOff>
      <xdr:row>2</xdr:row>
      <xdr:rowOff>4762</xdr:rowOff>
    </xdr:from>
    <xdr:to>
      <xdr:col>17</xdr:col>
      <xdr:colOff>190500</xdr:colOff>
      <xdr:row>16</xdr:row>
      <xdr:rowOff>80962</xdr:rowOff>
    </xdr:to>
    <xdr:graphicFrame macro="">
      <xdr:nvGraphicFramePr>
        <xdr:cNvPr id="3" name="Chart 2">
          <a:extLst>
            <a:ext uri="{FF2B5EF4-FFF2-40B4-BE49-F238E27FC236}">
              <a16:creationId xmlns:a16="http://schemas.microsoft.com/office/drawing/2014/main" id="{F9BC5BE6-803E-4451-BE75-B807F82859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180975</xdr:colOff>
      <xdr:row>16</xdr:row>
      <xdr:rowOff>104775</xdr:rowOff>
    </xdr:from>
    <xdr:to>
      <xdr:col>17</xdr:col>
      <xdr:colOff>200025</xdr:colOff>
      <xdr:row>30</xdr:row>
      <xdr:rowOff>171450</xdr:rowOff>
    </xdr:to>
    <xdr:graphicFrame macro="">
      <xdr:nvGraphicFramePr>
        <xdr:cNvPr id="5" name="Chart 4">
          <a:extLst>
            <a:ext uri="{FF2B5EF4-FFF2-40B4-BE49-F238E27FC236}">
              <a16:creationId xmlns:a16="http://schemas.microsoft.com/office/drawing/2014/main" id="{0BB6F348-DFFE-4C87-9E0E-5016CA7430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247650</xdr:colOff>
      <xdr:row>2</xdr:row>
      <xdr:rowOff>0</xdr:rowOff>
    </xdr:from>
    <xdr:to>
      <xdr:col>20</xdr:col>
      <xdr:colOff>695325</xdr:colOff>
      <xdr:row>16</xdr:row>
      <xdr:rowOff>76200</xdr:rowOff>
    </xdr:to>
    <xdr:graphicFrame macro="">
      <xdr:nvGraphicFramePr>
        <xdr:cNvPr id="6" name="Chart 5">
          <a:extLst>
            <a:ext uri="{FF2B5EF4-FFF2-40B4-BE49-F238E27FC236}">
              <a16:creationId xmlns:a16="http://schemas.microsoft.com/office/drawing/2014/main" id="{A29BFC48-2FE4-4B4F-951B-07BA492DA2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247650</xdr:colOff>
      <xdr:row>16</xdr:row>
      <xdr:rowOff>95250</xdr:rowOff>
    </xdr:from>
    <xdr:to>
      <xdr:col>20</xdr:col>
      <xdr:colOff>695325</xdr:colOff>
      <xdr:row>30</xdr:row>
      <xdr:rowOff>161925</xdr:rowOff>
    </xdr:to>
    <xdr:graphicFrame macro="">
      <xdr:nvGraphicFramePr>
        <xdr:cNvPr id="7" name="Chart 6">
          <a:extLst>
            <a:ext uri="{FF2B5EF4-FFF2-40B4-BE49-F238E27FC236}">
              <a16:creationId xmlns:a16="http://schemas.microsoft.com/office/drawing/2014/main" id="{343564D1-C6F0-4273-9B0F-FB925DA512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2F366-95E3-436C-93CA-71EC071C6F7C}">
  <dimension ref="A1:A24"/>
  <sheetViews>
    <sheetView topLeftCell="A13" workbookViewId="0">
      <selection activeCell="A24" sqref="A24"/>
    </sheetView>
  </sheetViews>
  <sheetFormatPr defaultRowHeight="15" x14ac:dyDescent="0.25"/>
  <cols>
    <col min="1" max="1" width="123.85546875" style="115" customWidth="1"/>
  </cols>
  <sheetData>
    <row r="1" spans="1:1" x14ac:dyDescent="0.25">
      <c r="A1" s="84" t="s">
        <v>37</v>
      </c>
    </row>
    <row r="2" spans="1:1" ht="30" x14ac:dyDescent="0.25">
      <c r="A2" s="130" t="s">
        <v>54</v>
      </c>
    </row>
    <row r="3" spans="1:1" x14ac:dyDescent="0.25">
      <c r="A3" s="129" t="s">
        <v>13</v>
      </c>
    </row>
    <row r="4" spans="1:1" ht="60" x14ac:dyDescent="0.25">
      <c r="A4" s="129" t="s">
        <v>113</v>
      </c>
    </row>
    <row r="5" spans="1:1" ht="45" x14ac:dyDescent="0.25">
      <c r="A5" s="129" t="s">
        <v>89</v>
      </c>
    </row>
    <row r="6" spans="1:1" ht="75" x14ac:dyDescent="0.25">
      <c r="A6" s="130" t="s">
        <v>112</v>
      </c>
    </row>
    <row r="7" spans="1:1" ht="45" x14ac:dyDescent="0.25">
      <c r="A7" s="130" t="s">
        <v>69</v>
      </c>
    </row>
    <row r="8" spans="1:1" ht="60" x14ac:dyDescent="0.25">
      <c r="A8" s="130" t="s">
        <v>70</v>
      </c>
    </row>
    <row r="9" spans="1:1" ht="45" x14ac:dyDescent="0.25">
      <c r="A9" s="130" t="s">
        <v>87</v>
      </c>
    </row>
    <row r="10" spans="1:1" ht="45" x14ac:dyDescent="0.25">
      <c r="A10" s="130" t="s">
        <v>82</v>
      </c>
    </row>
    <row r="11" spans="1:1" ht="30" x14ac:dyDescent="0.25">
      <c r="A11" s="130" t="s">
        <v>86</v>
      </c>
    </row>
    <row r="12" spans="1:1" ht="45" x14ac:dyDescent="0.25">
      <c r="A12" s="130" t="s">
        <v>83</v>
      </c>
    </row>
    <row r="13" spans="1:1" ht="30" x14ac:dyDescent="0.25">
      <c r="A13" s="130" t="s">
        <v>58</v>
      </c>
    </row>
    <row r="14" spans="1:1" ht="60" x14ac:dyDescent="0.25">
      <c r="A14" s="130" t="s">
        <v>78</v>
      </c>
    </row>
    <row r="15" spans="1:1" ht="45" x14ac:dyDescent="0.25">
      <c r="A15" s="130" t="s">
        <v>71</v>
      </c>
    </row>
    <row r="16" spans="1:1" ht="45" x14ac:dyDescent="0.25">
      <c r="A16" s="130" t="s">
        <v>84</v>
      </c>
    </row>
    <row r="17" spans="1:1" ht="30" x14ac:dyDescent="0.25">
      <c r="A17" s="130" t="s">
        <v>88</v>
      </c>
    </row>
    <row r="18" spans="1:1" x14ac:dyDescent="0.25">
      <c r="A18" s="129" t="s">
        <v>14</v>
      </c>
    </row>
    <row r="19" spans="1:1" ht="30" x14ac:dyDescent="0.25">
      <c r="A19" s="130" t="s">
        <v>41</v>
      </c>
    </row>
    <row r="20" spans="1:1" x14ac:dyDescent="0.25">
      <c r="A20" s="130" t="s">
        <v>42</v>
      </c>
    </row>
    <row r="21" spans="1:1" ht="30" x14ac:dyDescent="0.25">
      <c r="A21" s="130" t="s">
        <v>85</v>
      </c>
    </row>
    <row r="22" spans="1:1" ht="46.5" customHeight="1" x14ac:dyDescent="0.25">
      <c r="A22" s="130" t="s">
        <v>114</v>
      </c>
    </row>
    <row r="23" spans="1:1" ht="30" x14ac:dyDescent="0.25">
      <c r="A23" s="130" t="s">
        <v>115</v>
      </c>
    </row>
    <row r="24" spans="1:1" ht="30" x14ac:dyDescent="0.25">
      <c r="A24" s="130" t="s">
        <v>116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6"/>
  <sheetViews>
    <sheetView tabSelected="1" topLeftCell="A25" zoomScaleNormal="100" workbookViewId="0">
      <selection activeCell="M36" sqref="A1:XFD1048576"/>
    </sheetView>
  </sheetViews>
  <sheetFormatPr defaultColWidth="8.85546875" defaultRowHeight="15" x14ac:dyDescent="0.25"/>
  <cols>
    <col min="1" max="1" width="29.42578125" customWidth="1"/>
    <col min="2" max="2" width="7.42578125" style="21" customWidth="1"/>
    <col min="3" max="3" width="8.85546875" customWidth="1"/>
    <col min="4" max="4" width="8" style="78" customWidth="1"/>
    <col min="5" max="5" width="6" customWidth="1"/>
    <col min="6" max="6" width="7" style="69" customWidth="1"/>
    <col min="7" max="7" width="2.7109375" style="69" customWidth="1"/>
    <col min="8" max="8" width="10.42578125" style="69" customWidth="1"/>
    <col min="9" max="9" width="7.42578125" customWidth="1"/>
    <col min="10" max="10" width="10" style="41" customWidth="1"/>
    <col min="11" max="11" width="9.42578125" customWidth="1"/>
    <col min="12" max="12" width="10.42578125" customWidth="1"/>
    <col min="13" max="13" width="12.85546875" customWidth="1"/>
    <col min="14" max="14" width="10.140625" customWidth="1"/>
    <col min="15" max="15" width="8" customWidth="1"/>
    <col min="16" max="16" width="8.5703125" customWidth="1"/>
    <col min="17" max="17" width="7.42578125" customWidth="1"/>
    <col min="18" max="18" width="6.85546875" style="56" customWidth="1"/>
    <col min="19" max="19" width="9.5703125" customWidth="1"/>
    <col min="20" max="20" width="7.42578125" style="60" customWidth="1"/>
    <col min="21" max="21" width="8.5703125" customWidth="1"/>
    <col min="22" max="22" width="10" style="41" customWidth="1"/>
    <col min="23" max="23" width="12.28515625" style="37" customWidth="1"/>
    <col min="24" max="24" width="12.42578125" customWidth="1"/>
    <col min="25" max="25" width="9.5703125" style="41" customWidth="1"/>
    <col min="26" max="26" width="8" style="37" customWidth="1"/>
    <col min="31" max="31" width="13.85546875" bestFit="1" customWidth="1"/>
    <col min="32" max="32" width="13" customWidth="1"/>
  </cols>
  <sheetData>
    <row r="1" spans="1:32" ht="15.75" thickBot="1" x14ac:dyDescent="0.3">
      <c r="A1" s="205" t="s">
        <v>21</v>
      </c>
      <c r="B1" s="206"/>
      <c r="C1" s="206"/>
      <c r="D1" s="206"/>
      <c r="E1" s="206"/>
      <c r="F1" s="206"/>
      <c r="G1" s="206"/>
      <c r="H1" s="206"/>
      <c r="I1" s="206"/>
      <c r="J1" s="206"/>
      <c r="K1" s="206"/>
      <c r="L1" s="206"/>
      <c r="M1" s="206"/>
      <c r="O1" s="230" t="s">
        <v>117</v>
      </c>
      <c r="P1" s="231"/>
      <c r="Q1" s="231"/>
      <c r="R1" s="231"/>
      <c r="S1" s="143">
        <v>0</v>
      </c>
      <c r="T1" s="37"/>
      <c r="Y1"/>
      <c r="Z1"/>
    </row>
    <row r="2" spans="1:32" ht="15.75" thickBot="1" x14ac:dyDescent="0.3">
      <c r="F2" s="131"/>
      <c r="G2" s="131"/>
      <c r="H2" s="131"/>
      <c r="I2" s="131"/>
      <c r="P2" s="56"/>
      <c r="Q2" s="33"/>
      <c r="R2" s="33"/>
      <c r="S2" s="33"/>
      <c r="T2" s="33"/>
      <c r="U2" s="37"/>
      <c r="V2"/>
      <c r="W2" s="41"/>
      <c r="X2" s="37"/>
      <c r="Y2"/>
      <c r="Z2"/>
    </row>
    <row r="3" spans="1:32" ht="15" customHeight="1" x14ac:dyDescent="0.25">
      <c r="A3" s="237" t="s">
        <v>13</v>
      </c>
      <c r="B3" s="238"/>
      <c r="C3" s="238"/>
      <c r="D3" s="238"/>
      <c r="E3" s="238"/>
      <c r="F3" s="238"/>
      <c r="G3" s="152"/>
      <c r="H3" s="247" t="s">
        <v>14</v>
      </c>
      <c r="I3" s="248"/>
      <c r="J3" s="248"/>
      <c r="K3" s="248"/>
      <c r="L3" s="248"/>
      <c r="M3" s="249"/>
      <c r="O3" s="56"/>
      <c r="Q3" s="60"/>
      <c r="R3"/>
      <c r="S3" s="41"/>
      <c r="T3" s="114"/>
      <c r="U3" s="33" t="s">
        <v>40</v>
      </c>
      <c r="V3" s="33"/>
      <c r="W3" s="33"/>
      <c r="X3" s="33"/>
      <c r="Y3" s="47"/>
      <c r="Z3" s="50"/>
      <c r="AA3" s="33"/>
      <c r="AB3" s="47"/>
      <c r="AC3" s="50"/>
      <c r="AF3" s="1"/>
    </row>
    <row r="4" spans="1:32" ht="15" customHeight="1" x14ac:dyDescent="0.25">
      <c r="A4" s="235" t="s">
        <v>4</v>
      </c>
      <c r="B4" s="235"/>
      <c r="C4" s="235"/>
      <c r="D4" s="235"/>
      <c r="E4" s="235"/>
      <c r="F4" s="235"/>
      <c r="G4" s="110"/>
      <c r="H4" s="192" t="s">
        <v>38</v>
      </c>
      <c r="I4" s="193"/>
      <c r="J4" s="193"/>
      <c r="K4" s="193"/>
      <c r="L4" s="194"/>
      <c r="M4" s="155">
        <f>G39</f>
        <v>210168990.37701759</v>
      </c>
      <c r="N4" s="54"/>
      <c r="O4" s="56"/>
      <c r="Q4" s="60"/>
      <c r="R4"/>
      <c r="S4" s="41"/>
      <c r="T4" s="33"/>
      <c r="U4" s="33" t="s">
        <v>73</v>
      </c>
      <c r="V4" s="33"/>
      <c r="W4" s="33"/>
      <c r="X4" s="33"/>
      <c r="Y4" s="47"/>
      <c r="Z4" s="50"/>
      <c r="AA4" s="33"/>
      <c r="AB4" s="47"/>
      <c r="AC4" s="50"/>
      <c r="AF4" s="1"/>
    </row>
    <row r="5" spans="1:32" x14ac:dyDescent="0.25">
      <c r="A5" s="242" t="s">
        <v>30</v>
      </c>
      <c r="B5" s="243"/>
      <c r="C5" s="243"/>
      <c r="D5" s="244"/>
      <c r="E5" s="212">
        <f>'Current Funding'!C7</f>
        <v>945.00445313407192</v>
      </c>
      <c r="F5" s="213"/>
      <c r="G5" s="110"/>
      <c r="H5" s="192" t="s">
        <v>39</v>
      </c>
      <c r="I5" s="193"/>
      <c r="J5" s="193"/>
      <c r="K5" s="193"/>
      <c r="L5" s="193"/>
      <c r="M5" s="155">
        <f>X39</f>
        <v>219514505.15858898</v>
      </c>
      <c r="N5" s="54"/>
      <c r="O5" s="55"/>
      <c r="Q5" s="60"/>
      <c r="R5"/>
      <c r="S5" s="41"/>
      <c r="T5" s="18"/>
      <c r="U5" s="18"/>
      <c r="V5" s="18"/>
      <c r="W5" s="18"/>
      <c r="AB5" s="41"/>
      <c r="AC5" s="37"/>
    </row>
    <row r="6" spans="1:32" x14ac:dyDescent="0.25">
      <c r="A6" s="187" t="s">
        <v>90</v>
      </c>
      <c r="B6" s="188"/>
      <c r="C6" s="188"/>
      <c r="D6" s="189"/>
      <c r="E6" s="214">
        <v>1</v>
      </c>
      <c r="F6" s="215"/>
      <c r="G6" s="110"/>
      <c r="H6" s="195" t="s">
        <v>119</v>
      </c>
      <c r="I6" s="196"/>
      <c r="J6" s="196"/>
      <c r="K6" s="196"/>
      <c r="L6" s="196"/>
      <c r="M6" s="158">
        <f>M5-M4</f>
        <v>9345514.7815713882</v>
      </c>
      <c r="N6" s="54"/>
      <c r="O6" s="139"/>
      <c r="P6" s="139"/>
      <c r="Q6" s="140"/>
      <c r="R6" s="140"/>
      <c r="S6" s="41"/>
      <c r="T6" s="18"/>
      <c r="U6" s="18"/>
      <c r="V6" s="18"/>
      <c r="W6" s="18"/>
      <c r="AB6" s="41"/>
      <c r="AC6" s="37"/>
    </row>
    <row r="7" spans="1:32" x14ac:dyDescent="0.25">
      <c r="A7" s="239" t="s">
        <v>56</v>
      </c>
      <c r="B7" s="240"/>
      <c r="C7" s="240"/>
      <c r="D7" s="241"/>
      <c r="E7" s="236"/>
      <c r="F7" s="236"/>
      <c r="G7" s="110"/>
      <c r="H7" s="192" t="s">
        <v>79</v>
      </c>
      <c r="I7" s="193"/>
      <c r="J7" s="193"/>
      <c r="K7" s="193"/>
      <c r="L7" s="193"/>
      <c r="M7" s="156">
        <f>J39</f>
        <v>135348.962</v>
      </c>
      <c r="N7" s="54"/>
      <c r="O7" s="70"/>
      <c r="P7" s="70"/>
      <c r="Q7" s="141"/>
      <c r="R7" s="141"/>
      <c r="S7" s="41"/>
      <c r="T7" s="72"/>
      <c r="U7" s="72"/>
      <c r="V7" s="72"/>
      <c r="W7" s="72"/>
      <c r="AB7" s="41"/>
      <c r="AC7" s="37"/>
    </row>
    <row r="8" spans="1:32" x14ac:dyDescent="0.25">
      <c r="A8" s="187" t="s">
        <v>123</v>
      </c>
      <c r="B8" s="188"/>
      <c r="C8" s="188"/>
      <c r="D8" s="189"/>
      <c r="E8" s="245">
        <v>0.93</v>
      </c>
      <c r="F8" s="245"/>
      <c r="G8" s="116"/>
      <c r="H8" s="192" t="s">
        <v>59</v>
      </c>
      <c r="I8" s="193"/>
      <c r="J8" s="193"/>
      <c r="K8" s="193"/>
      <c r="L8" s="193"/>
      <c r="M8" s="156">
        <f>Y39</f>
        <v>162999.83285999999</v>
      </c>
      <c r="N8" s="54"/>
      <c r="O8" s="70"/>
      <c r="P8" s="70"/>
      <c r="Q8" s="141"/>
      <c r="R8" s="141"/>
      <c r="S8" s="41"/>
      <c r="T8" s="72"/>
      <c r="U8" s="72"/>
      <c r="V8" s="72"/>
      <c r="W8" s="72"/>
      <c r="AB8" s="41"/>
      <c r="AC8" s="37"/>
    </row>
    <row r="9" spans="1:32" ht="15.75" thickBot="1" x14ac:dyDescent="0.3">
      <c r="A9" s="232" t="s">
        <v>91</v>
      </c>
      <c r="B9" s="233"/>
      <c r="C9" s="233"/>
      <c r="D9" s="234"/>
      <c r="E9" s="246">
        <v>0.52300000000000002</v>
      </c>
      <c r="F9" s="246"/>
      <c r="G9" s="116"/>
      <c r="H9" s="195" t="s">
        <v>60</v>
      </c>
      <c r="I9" s="196"/>
      <c r="J9" s="196"/>
      <c r="K9" s="196"/>
      <c r="L9" s="196"/>
      <c r="M9" s="159">
        <f>M8-M7</f>
        <v>27650.870859999995</v>
      </c>
      <c r="N9" s="54"/>
      <c r="O9" s="139"/>
      <c r="P9" s="139"/>
      <c r="Q9" s="141"/>
      <c r="R9" s="141"/>
      <c r="S9" s="41"/>
      <c r="T9" s="72"/>
      <c r="U9" s="72"/>
      <c r="V9" s="72"/>
      <c r="W9" s="72"/>
      <c r="AB9" s="41"/>
      <c r="AC9" s="37"/>
    </row>
    <row r="10" spans="1:32" ht="15.75" thickTop="1" x14ac:dyDescent="0.25">
      <c r="A10" s="162" t="s">
        <v>3</v>
      </c>
      <c r="B10" s="163" t="s">
        <v>22</v>
      </c>
      <c r="C10" s="163" t="s">
        <v>24</v>
      </c>
      <c r="D10" s="163" t="s">
        <v>23</v>
      </c>
      <c r="E10" s="210" t="s">
        <v>15</v>
      </c>
      <c r="F10" s="211"/>
      <c r="G10" s="116"/>
      <c r="H10" s="192" t="s">
        <v>61</v>
      </c>
      <c r="I10" s="193"/>
      <c r="J10" s="193"/>
      <c r="K10" s="193"/>
      <c r="L10" s="193"/>
      <c r="M10" s="156">
        <f>M7/(M4/1000000)</f>
        <v>644.00062900430953</v>
      </c>
      <c r="N10" s="54"/>
      <c r="O10" s="70"/>
      <c r="P10" s="70"/>
      <c r="Q10" s="142"/>
      <c r="R10" s="142"/>
      <c r="S10" s="41"/>
      <c r="T10" s="72"/>
      <c r="U10" s="72"/>
      <c r="V10" s="72"/>
      <c r="W10" s="72"/>
      <c r="AB10" s="41"/>
      <c r="AC10" s="37"/>
    </row>
    <row r="11" spans="1:32" x14ac:dyDescent="0.25">
      <c r="A11" s="134" t="s">
        <v>29</v>
      </c>
      <c r="B11" s="97">
        <f>C11/2</f>
        <v>0.05</v>
      </c>
      <c r="C11" s="95">
        <v>0.1</v>
      </c>
      <c r="D11" s="94">
        <f>C11*1.5</f>
        <v>0.15000000000000002</v>
      </c>
      <c r="E11" s="219">
        <v>0.1</v>
      </c>
      <c r="F11" s="220"/>
      <c r="G11" s="110"/>
      <c r="H11" s="192" t="s">
        <v>75</v>
      </c>
      <c r="I11" s="193"/>
      <c r="J11" s="193"/>
      <c r="K11" s="193"/>
      <c r="L11" s="193"/>
      <c r="M11" s="156">
        <f>M8/(M5/1000000)</f>
        <v>742.54697994667924</v>
      </c>
      <c r="N11" s="54"/>
      <c r="O11" s="70"/>
      <c r="P11" s="70"/>
      <c r="Q11" s="142"/>
      <c r="R11" s="142"/>
      <c r="S11" s="72"/>
      <c r="T11" s="72"/>
      <c r="U11" s="72"/>
      <c r="V11" s="72"/>
      <c r="W11" s="72"/>
      <c r="AB11" s="41"/>
      <c r="AC11" s="37"/>
    </row>
    <row r="12" spans="1:32" x14ac:dyDescent="0.25">
      <c r="A12" s="135" t="s">
        <v>36</v>
      </c>
      <c r="B12" s="79" t="s">
        <v>22</v>
      </c>
      <c r="C12" s="79" t="s">
        <v>24</v>
      </c>
      <c r="D12" s="79" t="s">
        <v>23</v>
      </c>
      <c r="E12" s="223" t="s">
        <v>25</v>
      </c>
      <c r="F12" s="224"/>
      <c r="G12" s="110"/>
      <c r="H12" s="195" t="s">
        <v>62</v>
      </c>
      <c r="I12" s="196"/>
      <c r="J12" s="196"/>
      <c r="K12" s="196"/>
      <c r="L12" s="196"/>
      <c r="M12" s="160">
        <f>(M11-M10)/M10</f>
        <v>0.15302213461302422</v>
      </c>
      <c r="N12" s="54"/>
      <c r="O12" s="55"/>
      <c r="P12" s="18"/>
      <c r="Q12" s="18"/>
      <c r="R12" s="18"/>
      <c r="S12" s="18"/>
      <c r="T12" s="18"/>
      <c r="U12" s="18"/>
      <c r="V12" s="18"/>
      <c r="W12" s="18"/>
      <c r="AB12" s="41"/>
      <c r="AC12" s="37"/>
    </row>
    <row r="13" spans="1:32" x14ac:dyDescent="0.25">
      <c r="A13" s="136" t="s">
        <v>48</v>
      </c>
      <c r="B13" s="97">
        <f>C13/3</f>
        <v>4.9999999999999996E-2</v>
      </c>
      <c r="C13" s="95">
        <v>0.15</v>
      </c>
      <c r="D13" s="94">
        <f>C13+0.05</f>
        <v>0.2</v>
      </c>
      <c r="E13" s="225">
        <f>IF(E$11=B$11,B13,IF(E$11=C$11,C13,D13))</f>
        <v>0.15</v>
      </c>
      <c r="F13" s="225"/>
      <c r="G13" s="110"/>
      <c r="H13" s="192" t="s">
        <v>35</v>
      </c>
      <c r="I13" s="193"/>
      <c r="J13" s="193"/>
      <c r="K13" s="193"/>
      <c r="L13" s="193"/>
      <c r="M13" s="155">
        <f>M6</f>
        <v>9345514.7815713882</v>
      </c>
      <c r="N13" s="54"/>
      <c r="O13" s="55"/>
      <c r="P13" s="72"/>
      <c r="Q13" s="73"/>
      <c r="R13" s="72"/>
      <c r="S13" s="72"/>
      <c r="T13" s="72"/>
      <c r="U13" s="72"/>
      <c r="V13" s="72"/>
      <c r="W13" s="72"/>
      <c r="AB13" s="41"/>
      <c r="AC13" s="37"/>
    </row>
    <row r="14" spans="1:32" x14ac:dyDescent="0.25">
      <c r="A14" s="136" t="s">
        <v>92</v>
      </c>
      <c r="B14" s="97">
        <f>C14/3</f>
        <v>7.6666666666666675E-2</v>
      </c>
      <c r="C14" s="95">
        <v>0.23</v>
      </c>
      <c r="D14" s="94">
        <f>C14+0.05</f>
        <v>0.28000000000000003</v>
      </c>
      <c r="E14" s="225">
        <f>IF(E$11=B$11,B14,IF(E$11=C$11,C14,D14))</f>
        <v>0.23</v>
      </c>
      <c r="F14" s="225"/>
      <c r="G14" s="110"/>
      <c r="H14" s="192" t="s">
        <v>63</v>
      </c>
      <c r="I14" s="193"/>
      <c r="J14" s="193"/>
      <c r="K14" s="193"/>
      <c r="L14" s="193"/>
      <c r="M14" s="156">
        <f>M9</f>
        <v>27650.870859999995</v>
      </c>
      <c r="N14" s="54"/>
      <c r="O14" s="55"/>
      <c r="P14" s="72"/>
      <c r="Q14" s="73"/>
      <c r="R14" s="72"/>
      <c r="S14" s="72"/>
      <c r="T14" s="72"/>
      <c r="U14" s="72"/>
      <c r="V14" s="72"/>
      <c r="W14" s="72"/>
      <c r="AB14" s="41"/>
      <c r="AC14" s="37"/>
    </row>
    <row r="15" spans="1:32" ht="15.75" thickBot="1" x14ac:dyDescent="0.3">
      <c r="A15" s="135" t="s">
        <v>28</v>
      </c>
      <c r="B15" s="79" t="s">
        <v>22</v>
      </c>
      <c r="C15" s="79" t="s">
        <v>24</v>
      </c>
      <c r="D15" s="79" t="s">
        <v>23</v>
      </c>
      <c r="E15" s="226" t="s">
        <v>15</v>
      </c>
      <c r="F15" s="227"/>
      <c r="G15" s="110"/>
      <c r="H15" s="197" t="s">
        <v>118</v>
      </c>
      <c r="I15" s="198"/>
      <c r="J15" s="198"/>
      <c r="K15" s="198"/>
      <c r="L15" s="198"/>
      <c r="M15" s="170">
        <f>M13/M14</f>
        <v>337.98265627469607</v>
      </c>
      <c r="N15" s="54"/>
      <c r="O15" s="55"/>
      <c r="P15" s="72"/>
      <c r="Q15" s="73"/>
      <c r="R15" s="72"/>
      <c r="S15" s="72"/>
      <c r="T15" s="72"/>
      <c r="U15" s="72"/>
      <c r="V15" s="72"/>
      <c r="W15" s="72"/>
      <c r="AB15" s="41"/>
      <c r="AC15" s="37"/>
    </row>
    <row r="16" spans="1:32" ht="15.75" thickTop="1" x14ac:dyDescent="0.25">
      <c r="A16" s="134" t="s">
        <v>93</v>
      </c>
      <c r="B16" s="99">
        <v>1</v>
      </c>
      <c r="C16" s="96">
        <v>1.22</v>
      </c>
      <c r="D16" s="98">
        <f>C16+0.2</f>
        <v>1.42</v>
      </c>
      <c r="E16" s="221">
        <v>1.22</v>
      </c>
      <c r="F16" s="222"/>
      <c r="G16" s="110"/>
      <c r="H16" s="199" t="s">
        <v>96</v>
      </c>
      <c r="I16" s="200"/>
      <c r="J16" s="200"/>
      <c r="K16" s="200"/>
      <c r="L16" s="200"/>
      <c r="M16" s="171">
        <f>G38</f>
        <v>165974912.12174958</v>
      </c>
      <c r="N16" s="54"/>
      <c r="O16" s="55"/>
      <c r="P16" s="18"/>
      <c r="Q16" s="18"/>
      <c r="R16" s="18"/>
      <c r="S16" s="18"/>
      <c r="T16" s="18"/>
      <c r="U16" s="18"/>
      <c r="V16" s="18"/>
      <c r="W16" s="18"/>
      <c r="AB16" s="41"/>
      <c r="AC16" s="37"/>
    </row>
    <row r="17" spans="1:30" x14ac:dyDescent="0.25">
      <c r="A17" s="135" t="s">
        <v>34</v>
      </c>
      <c r="B17" s="79" t="s">
        <v>22</v>
      </c>
      <c r="C17" s="79" t="s">
        <v>27</v>
      </c>
      <c r="D17" s="79" t="s">
        <v>23</v>
      </c>
      <c r="E17" s="223" t="s">
        <v>26</v>
      </c>
      <c r="F17" s="224"/>
      <c r="G17" s="117"/>
      <c r="H17" s="192" t="s">
        <v>97</v>
      </c>
      <c r="I17" s="193"/>
      <c r="J17" s="193"/>
      <c r="K17" s="193"/>
      <c r="L17" s="193"/>
      <c r="M17" s="155">
        <f>X38</f>
        <v>172244063.82845029</v>
      </c>
      <c r="N17" s="54"/>
      <c r="O17" s="55"/>
      <c r="P17" s="18"/>
      <c r="Q17" s="18"/>
      <c r="R17" s="18"/>
      <c r="S17" s="18"/>
      <c r="T17" s="18"/>
      <c r="U17" s="18"/>
      <c r="V17" s="18"/>
      <c r="W17" s="18"/>
      <c r="AB17" s="41"/>
      <c r="AC17" s="37"/>
    </row>
    <row r="18" spans="1:30" x14ac:dyDescent="0.25">
      <c r="A18" s="136" t="s">
        <v>48</v>
      </c>
      <c r="B18" s="97">
        <f>E13</f>
        <v>0.15</v>
      </c>
      <c r="C18" s="95">
        <f>E13</f>
        <v>0.15</v>
      </c>
      <c r="D18" s="94">
        <f>E13</f>
        <v>0.15</v>
      </c>
      <c r="E18" s="225">
        <f>D18</f>
        <v>0.15</v>
      </c>
      <c r="F18" s="225"/>
      <c r="G18" s="117"/>
      <c r="H18" s="195" t="s">
        <v>98</v>
      </c>
      <c r="I18" s="196"/>
      <c r="J18" s="196"/>
      <c r="K18" s="196"/>
      <c r="L18" s="196"/>
      <c r="M18" s="157">
        <f>M17-M16</f>
        <v>6269151.7067007124</v>
      </c>
      <c r="N18" s="54"/>
      <c r="O18" s="55"/>
      <c r="P18" s="18"/>
      <c r="Q18" s="18"/>
      <c r="R18" s="18"/>
      <c r="S18" s="18"/>
      <c r="T18" s="18"/>
      <c r="U18" s="18"/>
      <c r="V18" s="18"/>
      <c r="W18" s="18"/>
      <c r="AB18" s="41"/>
      <c r="AC18" s="37"/>
    </row>
    <row r="19" spans="1:30" ht="15.75" thickBot="1" x14ac:dyDescent="0.3">
      <c r="A19" s="164" t="s">
        <v>92</v>
      </c>
      <c r="B19" s="165">
        <f>C18</f>
        <v>0.15</v>
      </c>
      <c r="C19" s="166">
        <f>E14</f>
        <v>0.23</v>
      </c>
      <c r="D19" s="167">
        <f>C19*1.25</f>
        <v>0.28750000000000003</v>
      </c>
      <c r="E19" s="253">
        <f>IF(E$16=B$16,B19,IF(E$16=C$16,C19,D19))</f>
        <v>0.23</v>
      </c>
      <c r="F19" s="253"/>
      <c r="G19" s="110"/>
      <c r="H19" s="192" t="s">
        <v>99</v>
      </c>
      <c r="I19" s="193"/>
      <c r="J19" s="193"/>
      <c r="K19" s="193"/>
      <c r="L19" s="193"/>
      <c r="M19" s="156">
        <f>J38</f>
        <v>91856.582000000009</v>
      </c>
      <c r="N19" s="54"/>
      <c r="O19" s="55"/>
      <c r="P19" s="72"/>
      <c r="Q19" s="73"/>
      <c r="R19" s="72"/>
      <c r="S19" s="72"/>
      <c r="T19" s="72"/>
      <c r="U19" s="72"/>
      <c r="V19" s="72"/>
      <c r="W19" s="72"/>
      <c r="AB19" s="41"/>
      <c r="AC19" s="37"/>
    </row>
    <row r="20" spans="1:30" ht="15.75" thickTop="1" x14ac:dyDescent="0.25">
      <c r="A20" s="216" t="s">
        <v>32</v>
      </c>
      <c r="B20" s="217"/>
      <c r="C20" s="217"/>
      <c r="D20" s="218"/>
      <c r="E20" s="254">
        <f>M4*E11</f>
        <v>21016899.037701759</v>
      </c>
      <c r="F20" s="255"/>
      <c r="G20" s="110"/>
      <c r="H20" s="192" t="s">
        <v>100</v>
      </c>
      <c r="I20" s="193"/>
      <c r="J20" s="193"/>
      <c r="K20" s="193"/>
      <c r="L20" s="193"/>
      <c r="M20" s="156">
        <f>Y38</f>
        <v>112983.59586</v>
      </c>
      <c r="N20" s="54"/>
      <c r="O20" s="55"/>
      <c r="P20" s="72"/>
      <c r="Q20" s="73"/>
      <c r="R20" s="72"/>
      <c r="S20" s="72"/>
      <c r="T20" s="72"/>
      <c r="U20" s="72"/>
      <c r="V20" s="72"/>
      <c r="W20" s="72"/>
      <c r="AB20" s="41"/>
      <c r="AC20" s="37"/>
    </row>
    <row r="21" spans="1:30" x14ac:dyDescent="0.25">
      <c r="A21" s="187" t="s">
        <v>76</v>
      </c>
      <c r="B21" s="188"/>
      <c r="C21" s="188"/>
      <c r="D21" s="189"/>
      <c r="E21" s="219">
        <v>0.5</v>
      </c>
      <c r="F21" s="250"/>
      <c r="G21" s="110"/>
      <c r="H21" s="195" t="s">
        <v>101</v>
      </c>
      <c r="I21" s="196"/>
      <c r="J21" s="196"/>
      <c r="K21" s="196"/>
      <c r="L21" s="196"/>
      <c r="M21" s="172">
        <f>M20-M19</f>
        <v>21127.013859999992</v>
      </c>
      <c r="N21" s="54"/>
      <c r="O21" s="55"/>
      <c r="P21" s="72"/>
      <c r="Q21" s="73"/>
      <c r="R21" s="72"/>
      <c r="S21" s="72"/>
      <c r="T21" s="72"/>
      <c r="U21" s="72"/>
      <c r="V21" s="72"/>
      <c r="W21" s="72"/>
      <c r="AB21" s="41"/>
      <c r="AC21" s="37"/>
    </row>
    <row r="22" spans="1:30" x14ac:dyDescent="0.25">
      <c r="A22" s="187" t="s">
        <v>33</v>
      </c>
      <c r="B22" s="188"/>
      <c r="C22" s="188"/>
      <c r="D22" s="189"/>
      <c r="E22" s="228" t="s">
        <v>43</v>
      </c>
      <c r="F22" s="229"/>
      <c r="G22" s="110"/>
      <c r="H22" s="192" t="s">
        <v>103</v>
      </c>
      <c r="I22" s="193"/>
      <c r="J22" s="193"/>
      <c r="K22" s="193"/>
      <c r="L22" s="193"/>
      <c r="M22" s="156">
        <f>M19/(M16/1000000)</f>
        <v>553.43654547392885</v>
      </c>
      <c r="N22" s="54"/>
      <c r="O22" s="55"/>
      <c r="P22" s="72"/>
      <c r="Q22" s="73"/>
      <c r="R22" s="72"/>
      <c r="S22" s="72"/>
      <c r="T22" s="72"/>
      <c r="U22" s="72"/>
      <c r="V22" s="72"/>
      <c r="W22" s="72"/>
      <c r="AB22" s="41"/>
      <c r="AC22" s="37"/>
    </row>
    <row r="23" spans="1:30" ht="15.75" customHeight="1" x14ac:dyDescent="0.25">
      <c r="A23" s="187" t="s">
        <v>64</v>
      </c>
      <c r="B23" s="188"/>
      <c r="C23" s="188"/>
      <c r="D23" s="189"/>
      <c r="E23" s="203">
        <f>Y39</f>
        <v>162999.83285999999</v>
      </c>
      <c r="F23" s="204"/>
      <c r="G23" s="110"/>
      <c r="H23" s="192" t="s">
        <v>104</v>
      </c>
      <c r="I23" s="193"/>
      <c r="J23" s="193"/>
      <c r="K23" s="193"/>
      <c r="L23" s="193"/>
      <c r="M23" s="156">
        <f>M20/(M17/1000000)</f>
        <v>655.95059329608091</v>
      </c>
      <c r="N23" s="54"/>
      <c r="O23" s="55"/>
      <c r="P23" s="18"/>
      <c r="Q23" s="18"/>
      <c r="R23" s="18"/>
      <c r="S23" s="18"/>
      <c r="T23" s="18"/>
      <c r="U23" s="18"/>
      <c r="V23" s="18"/>
      <c r="W23" s="18"/>
      <c r="AA23" s="37"/>
      <c r="AB23" s="41"/>
      <c r="AC23" s="37"/>
    </row>
    <row r="24" spans="1:30" x14ac:dyDescent="0.25">
      <c r="A24" s="137" t="s">
        <v>3</v>
      </c>
      <c r="B24" s="137" t="s">
        <v>45</v>
      </c>
      <c r="C24" s="137" t="s">
        <v>77</v>
      </c>
      <c r="D24" s="137" t="s">
        <v>31</v>
      </c>
      <c r="E24" s="251" t="s">
        <v>15</v>
      </c>
      <c r="F24" s="252"/>
      <c r="G24" s="110"/>
      <c r="H24" s="195" t="s">
        <v>102</v>
      </c>
      <c r="I24" s="196"/>
      <c r="J24" s="196"/>
      <c r="K24" s="196"/>
      <c r="L24" s="196"/>
      <c r="M24" s="161">
        <f>(M23-M22)/M22</f>
        <v>0.18523180057501509</v>
      </c>
      <c r="N24" s="54"/>
      <c r="O24" s="55"/>
      <c r="P24" s="18"/>
      <c r="Q24" s="18"/>
      <c r="R24" s="18"/>
      <c r="S24" s="18"/>
      <c r="T24" s="18"/>
      <c r="U24" s="18"/>
      <c r="V24" s="18"/>
      <c r="W24" s="18"/>
      <c r="AB24" s="41"/>
      <c r="AC24" s="37"/>
    </row>
    <row r="25" spans="1:30" x14ac:dyDescent="0.25">
      <c r="A25" s="138" t="s">
        <v>67</v>
      </c>
      <c r="B25" s="100">
        <f>E5*E11</f>
        <v>94.500445313407198</v>
      </c>
      <c r="C25" s="101">
        <f>M4*E11/Y39/E16</f>
        <v>105.68701895014756</v>
      </c>
      <c r="D25" s="102">
        <f>C25*1.2</f>
        <v>126.82442274017707</v>
      </c>
      <c r="E25" s="228">
        <f>IF(E22="Yes",C25)</f>
        <v>105.68701895014756</v>
      </c>
      <c r="F25" s="229"/>
      <c r="G25" s="110"/>
      <c r="H25" s="192" t="s">
        <v>120</v>
      </c>
      <c r="I25" s="193"/>
      <c r="J25" s="193"/>
      <c r="K25" s="193"/>
      <c r="L25" s="193"/>
      <c r="M25" s="153">
        <f>X47</f>
        <v>1004.768970081702</v>
      </c>
      <c r="N25" s="54"/>
      <c r="O25" s="55"/>
      <c r="P25" s="18"/>
      <c r="Q25" s="18"/>
      <c r="R25" s="18"/>
      <c r="S25" s="18"/>
      <c r="T25" s="18"/>
      <c r="U25" s="18"/>
      <c r="V25" s="18"/>
      <c r="W25" s="18"/>
      <c r="AB25" s="41"/>
      <c r="AC25" s="37"/>
    </row>
    <row r="26" spans="1:30" ht="15.75" thickBot="1" x14ac:dyDescent="0.3">
      <c r="A26" s="164" t="s">
        <v>68</v>
      </c>
      <c r="B26" s="168"/>
      <c r="C26" s="168"/>
      <c r="D26" s="169"/>
      <c r="E26" s="201">
        <v>1</v>
      </c>
      <c r="F26" s="202"/>
      <c r="G26" s="110"/>
      <c r="H26" s="192" t="s">
        <v>121</v>
      </c>
      <c r="I26" s="193"/>
      <c r="J26" s="193"/>
      <c r="K26" s="193"/>
      <c r="L26" s="193"/>
      <c r="M26" s="155">
        <f>X54</f>
        <v>986.71638859315476</v>
      </c>
      <c r="N26" s="54"/>
      <c r="O26" s="55"/>
      <c r="P26" s="70"/>
      <c r="Q26" s="70"/>
      <c r="R26" s="70"/>
      <c r="S26" s="70"/>
      <c r="T26" s="70"/>
      <c r="U26" s="70"/>
      <c r="V26" s="70"/>
      <c r="W26" s="70"/>
      <c r="AA26" s="37"/>
      <c r="AB26" s="41"/>
      <c r="AC26" s="37"/>
    </row>
    <row r="27" spans="1:30" ht="15.75" thickTop="1" x14ac:dyDescent="0.25">
      <c r="A27" s="162" t="s">
        <v>44</v>
      </c>
      <c r="B27" s="163" t="s">
        <v>2</v>
      </c>
      <c r="C27" s="163" t="s">
        <v>7</v>
      </c>
      <c r="D27" s="163" t="s">
        <v>47</v>
      </c>
      <c r="E27" s="185" t="s">
        <v>46</v>
      </c>
      <c r="F27" s="186"/>
      <c r="G27" s="110"/>
      <c r="H27" s="195" t="s">
        <v>122</v>
      </c>
      <c r="I27" s="196"/>
      <c r="J27" s="196"/>
      <c r="K27" s="196"/>
      <c r="L27" s="196"/>
      <c r="M27" s="161">
        <f>(M26-M25)/M25</f>
        <v>-1.7966897890048638E-2</v>
      </c>
      <c r="N27" s="54"/>
      <c r="O27" s="55"/>
      <c r="P27" s="70"/>
      <c r="Q27" s="70"/>
      <c r="R27" s="70"/>
      <c r="S27" s="70"/>
      <c r="T27" s="70"/>
      <c r="U27" s="70"/>
      <c r="V27" s="70"/>
      <c r="W27" s="70"/>
      <c r="AA27" s="37"/>
      <c r="AB27" s="41"/>
      <c r="AC27" s="37"/>
    </row>
    <row r="28" spans="1:30" x14ac:dyDescent="0.25">
      <c r="A28" s="118" t="s">
        <v>55</v>
      </c>
      <c r="B28" s="119">
        <f>N37</f>
        <v>105.68701895014756</v>
      </c>
      <c r="C28" s="120">
        <v>1</v>
      </c>
      <c r="D28" s="120">
        <f>U37</f>
        <v>1.0694999999999999</v>
      </c>
      <c r="E28" s="190">
        <f>B28*C28*D28</f>
        <v>113.0322667671828</v>
      </c>
      <c r="F28" s="191"/>
      <c r="G28" s="71"/>
      <c r="H28" s="111"/>
      <c r="I28" s="111"/>
      <c r="J28" s="111"/>
      <c r="K28" s="111"/>
      <c r="L28" s="111"/>
      <c r="M28" s="113"/>
      <c r="N28" s="54"/>
      <c r="O28" s="55"/>
      <c r="P28" s="70"/>
      <c r="Q28" s="70"/>
      <c r="R28" s="70"/>
      <c r="S28" s="70"/>
      <c r="T28" s="70"/>
      <c r="U28" s="70"/>
      <c r="V28" s="70"/>
      <c r="W28" s="70"/>
      <c r="AA28" s="37"/>
      <c r="AB28" s="41"/>
      <c r="AC28" s="37"/>
    </row>
    <row r="29" spans="1:30" x14ac:dyDescent="0.25">
      <c r="A29" s="118" t="s">
        <v>94</v>
      </c>
      <c r="B29" s="119">
        <f>B28</f>
        <v>105.68701895014756</v>
      </c>
      <c r="C29" s="120">
        <f>E16</f>
        <v>1.22</v>
      </c>
      <c r="D29" s="120">
        <f>U38</f>
        <v>0.64329000000000003</v>
      </c>
      <c r="E29" s="190">
        <f>B29*C29*D29</f>
        <v>82.944630952937317</v>
      </c>
      <c r="F29" s="191"/>
      <c r="G29" s="71"/>
      <c r="H29" s="109"/>
      <c r="I29" s="109"/>
      <c r="J29" s="109"/>
      <c r="K29" s="109"/>
      <c r="L29" s="109"/>
      <c r="M29" s="109"/>
      <c r="N29" s="112"/>
      <c r="O29" s="54"/>
      <c r="P29" s="55"/>
      <c r="Q29" s="70"/>
      <c r="R29" s="70"/>
      <c r="S29" s="70"/>
      <c r="T29" s="70"/>
      <c r="U29" s="70"/>
      <c r="V29" s="70"/>
      <c r="W29" s="70"/>
      <c r="X29" s="70"/>
      <c r="Y29"/>
      <c r="Z29" s="41"/>
      <c r="AA29" s="37"/>
      <c r="AB29" s="37"/>
      <c r="AC29" s="41"/>
      <c r="AD29" s="37"/>
    </row>
    <row r="30" spans="1:30" x14ac:dyDescent="0.25">
      <c r="A30" s="192" t="s">
        <v>95</v>
      </c>
      <c r="B30" s="193"/>
      <c r="C30" s="193"/>
      <c r="D30" s="193"/>
      <c r="E30" s="208">
        <f>(E28-E29)/E28</f>
        <v>0.26618625525946699</v>
      </c>
      <c r="F30" s="209"/>
      <c r="G30" s="132"/>
      <c r="H30" s="109"/>
      <c r="I30" s="109"/>
      <c r="J30" s="109"/>
      <c r="K30" s="109"/>
      <c r="L30" s="109"/>
      <c r="M30" s="109"/>
      <c r="N30" s="112"/>
      <c r="O30" s="54"/>
      <c r="P30" s="55"/>
      <c r="Q30" s="70"/>
      <c r="R30" s="70"/>
      <c r="S30" s="70"/>
      <c r="T30" s="70"/>
      <c r="U30" s="70"/>
      <c r="V30" s="70"/>
      <c r="W30" s="70"/>
      <c r="X30" s="70"/>
      <c r="Y30"/>
      <c r="Z30" s="41"/>
      <c r="AA30" s="37"/>
      <c r="AB30" s="37"/>
      <c r="AC30" s="41"/>
      <c r="AD30" s="37"/>
    </row>
    <row r="31" spans="1:30" s="75" customFormat="1" x14ac:dyDescent="0.25">
      <c r="I31" s="122"/>
      <c r="P31" s="123"/>
      <c r="R31" s="124"/>
      <c r="T31" s="122"/>
      <c r="U31" s="125"/>
      <c r="W31" s="122"/>
      <c r="X31" s="125"/>
    </row>
    <row r="32" spans="1:30" s="75" customFormat="1" ht="15.75" thickBot="1" x14ac:dyDescent="0.3">
      <c r="A32" s="74"/>
      <c r="B32" s="74"/>
      <c r="C32" s="74"/>
      <c r="D32" s="74"/>
      <c r="E32" s="74"/>
      <c r="F32" s="74"/>
      <c r="G32" s="74"/>
      <c r="H32" s="74"/>
      <c r="I32" s="122"/>
      <c r="M32" s="74"/>
      <c r="N32" s="74"/>
      <c r="O32" s="74"/>
      <c r="P32" s="123"/>
      <c r="R32" s="124"/>
      <c r="T32" s="122"/>
      <c r="U32" s="125"/>
      <c r="W32" s="122"/>
      <c r="X32" s="125"/>
    </row>
    <row r="33" spans="1:32" ht="15.75" thickBot="1" x14ac:dyDescent="0.3">
      <c r="A33" s="205" t="s">
        <v>19</v>
      </c>
      <c r="B33" s="206"/>
      <c r="C33" s="206"/>
      <c r="D33" s="206"/>
      <c r="E33" s="206"/>
      <c r="F33" s="206"/>
      <c r="G33" s="206"/>
      <c r="H33" s="206"/>
      <c r="I33" s="206"/>
      <c r="J33" s="206"/>
      <c r="K33" s="206"/>
      <c r="L33" s="206"/>
      <c r="M33" s="206"/>
      <c r="N33" s="206"/>
      <c r="O33" s="206"/>
      <c r="P33" s="206"/>
      <c r="Q33" s="206"/>
      <c r="R33" s="206"/>
      <c r="S33" s="206"/>
      <c r="T33" s="206"/>
      <c r="U33" s="206"/>
      <c r="V33" s="206"/>
      <c r="W33" s="206"/>
      <c r="X33" s="206"/>
      <c r="Y33" s="206"/>
      <c r="Z33" s="207"/>
    </row>
    <row r="34" spans="1:32" ht="9" customHeight="1" x14ac:dyDescent="0.25">
      <c r="A34" s="18"/>
      <c r="B34" s="20"/>
      <c r="F34" s="127"/>
      <c r="G34" s="127"/>
      <c r="H34" s="127"/>
      <c r="I34" s="127"/>
      <c r="J34" s="128"/>
      <c r="N34" s="18"/>
      <c r="O34" s="18"/>
      <c r="P34" s="18"/>
      <c r="Q34" s="18"/>
      <c r="R34" s="57"/>
      <c r="S34" s="18"/>
      <c r="T34" s="61"/>
      <c r="U34" s="18"/>
      <c r="V34" s="48"/>
      <c r="W34" s="51"/>
    </row>
    <row r="35" spans="1:32" s="11" customFormat="1" x14ac:dyDescent="0.25">
      <c r="A35" s="19"/>
      <c r="B35" s="30" t="s">
        <v>5</v>
      </c>
      <c r="C35" s="182" t="s">
        <v>4</v>
      </c>
      <c r="D35" s="183"/>
      <c r="E35" s="183"/>
      <c r="F35" s="183"/>
      <c r="G35" s="183"/>
      <c r="H35" s="183"/>
      <c r="I35" s="183"/>
      <c r="J35" s="183"/>
      <c r="K35" s="184"/>
      <c r="L35" s="182" t="s">
        <v>3</v>
      </c>
      <c r="M35" s="183"/>
      <c r="N35" s="183"/>
      <c r="O35" s="183"/>
      <c r="P35" s="183"/>
      <c r="Q35" s="183"/>
      <c r="R35" s="183"/>
      <c r="S35" s="183"/>
      <c r="T35" s="183"/>
      <c r="U35" s="183"/>
      <c r="V35" s="183"/>
      <c r="W35" s="183"/>
      <c r="X35" s="183"/>
      <c r="Y35" s="183"/>
      <c r="Z35" s="184"/>
    </row>
    <row r="36" spans="1:32" s="10" customFormat="1" ht="28.5" customHeight="1" x14ac:dyDescent="0.25">
      <c r="A36" s="6" t="s">
        <v>20</v>
      </c>
      <c r="B36" s="53" t="s">
        <v>10</v>
      </c>
      <c r="C36" s="82" t="s">
        <v>2</v>
      </c>
      <c r="D36" s="90" t="s">
        <v>107</v>
      </c>
      <c r="E36" s="83" t="s">
        <v>0</v>
      </c>
      <c r="F36" s="84" t="s">
        <v>11</v>
      </c>
      <c r="G36" s="179" t="s">
        <v>111</v>
      </c>
      <c r="H36" s="180"/>
      <c r="I36" s="85" t="s">
        <v>57</v>
      </c>
      <c r="J36" s="86" t="s">
        <v>65</v>
      </c>
      <c r="K36" s="87" t="s">
        <v>80</v>
      </c>
      <c r="L36" s="151" t="s">
        <v>108</v>
      </c>
      <c r="M36" s="84" t="s">
        <v>106</v>
      </c>
      <c r="N36" s="53" t="s">
        <v>105</v>
      </c>
      <c r="O36" s="90" t="s">
        <v>107</v>
      </c>
      <c r="P36" s="53" t="s">
        <v>109</v>
      </c>
      <c r="Q36" s="88" t="s">
        <v>57</v>
      </c>
      <c r="R36" s="89" t="s">
        <v>16</v>
      </c>
      <c r="S36" s="90" t="s">
        <v>66</v>
      </c>
      <c r="T36" s="91" t="s">
        <v>17</v>
      </c>
      <c r="U36" s="53" t="s">
        <v>18</v>
      </c>
      <c r="V36" s="92" t="s">
        <v>12</v>
      </c>
      <c r="W36" s="93" t="s">
        <v>110</v>
      </c>
      <c r="X36" s="84" t="s">
        <v>81</v>
      </c>
      <c r="Y36" s="86" t="s">
        <v>65</v>
      </c>
      <c r="Z36" s="87" t="s">
        <v>80</v>
      </c>
      <c r="AB36" s="107"/>
      <c r="AC36" s="107"/>
      <c r="AD36" s="107"/>
      <c r="AE36" s="107"/>
      <c r="AF36" s="108"/>
    </row>
    <row r="37" spans="1:32" s="1" customFormat="1" x14ac:dyDescent="0.25">
      <c r="A37" s="22" t="s">
        <v>49</v>
      </c>
      <c r="B37" s="45">
        <v>46766</v>
      </c>
      <c r="C37" s="17">
        <v>1</v>
      </c>
      <c r="D37" s="81">
        <v>0</v>
      </c>
      <c r="E37" s="46">
        <f t="shared" ref="E37:E38" si="0">C37+D37</f>
        <v>1</v>
      </c>
      <c r="F37" s="2">
        <f>E$5</f>
        <v>945.00445313407192</v>
      </c>
      <c r="G37" s="175">
        <f>E37*F37*B37</f>
        <v>44194078.255268008</v>
      </c>
      <c r="H37" s="176"/>
      <c r="I37" s="65">
        <f>E8</f>
        <v>0.93</v>
      </c>
      <c r="J37" s="42">
        <f>B37*I37</f>
        <v>43492.380000000005</v>
      </c>
      <c r="K37" s="76">
        <f>J37/(G37/1000000)</f>
        <v>984.12234663624054</v>
      </c>
      <c r="L37" s="35">
        <f>F37*(1-E$11*E$21)</f>
        <v>897.75423047736831</v>
      </c>
      <c r="M37" s="25">
        <f>L37*B37</f>
        <v>41984374.342504606</v>
      </c>
      <c r="N37" s="15">
        <f>IF(E$22="Yes",C$25/E$26,E$25/E$26)</f>
        <v>105.68701895014756</v>
      </c>
      <c r="O37" s="15">
        <v>0</v>
      </c>
      <c r="P37" s="15">
        <f>N37+O37</f>
        <v>105.68701895014756</v>
      </c>
      <c r="Q37" s="26">
        <f>I37*(1+S1)</f>
        <v>0.93</v>
      </c>
      <c r="R37" s="58">
        <f>E$26</f>
        <v>1</v>
      </c>
      <c r="S37" s="31">
        <f>R37*Q37</f>
        <v>0.93</v>
      </c>
      <c r="T37" s="39">
        <f>E$18</f>
        <v>0.15</v>
      </c>
      <c r="U37" s="32">
        <f>S37*(1+T37)</f>
        <v>1.0694999999999999</v>
      </c>
      <c r="V37" s="42">
        <f>B37*U37</f>
        <v>50016.236999999994</v>
      </c>
      <c r="W37" s="12">
        <f>P37*V37</f>
        <v>5286066.9876340711</v>
      </c>
      <c r="X37" s="2">
        <f>M37+W37</f>
        <v>47270441.330138676</v>
      </c>
      <c r="Y37" s="52">
        <f>V37/E$26</f>
        <v>50016.236999999994</v>
      </c>
      <c r="Z37" s="76">
        <f>Y37/(X37/1000000)</f>
        <v>1058.0869480503593</v>
      </c>
      <c r="AB37" s="103"/>
      <c r="AC37" s="104"/>
      <c r="AD37" s="105"/>
      <c r="AE37" s="106"/>
      <c r="AF37" s="106"/>
    </row>
    <row r="38" spans="1:32" s="1" customFormat="1" x14ac:dyDescent="0.25">
      <c r="A38" s="22" t="s">
        <v>91</v>
      </c>
      <c r="B38" s="45">
        <v>175634</v>
      </c>
      <c r="C38" s="17">
        <v>1</v>
      </c>
      <c r="D38" s="81">
        <f>E$6-1</f>
        <v>0</v>
      </c>
      <c r="E38" s="46">
        <f t="shared" si="0"/>
        <v>1</v>
      </c>
      <c r="F38" s="2">
        <f>E$5</f>
        <v>945.00445313407192</v>
      </c>
      <c r="G38" s="175">
        <f>E38*F38*B38</f>
        <v>165974912.12174958</v>
      </c>
      <c r="H38" s="176"/>
      <c r="I38" s="65">
        <f>E9</f>
        <v>0.52300000000000002</v>
      </c>
      <c r="J38" s="42">
        <f>B38*I38</f>
        <v>91856.582000000009</v>
      </c>
      <c r="K38" s="76">
        <f>J38/(G38/1000000)</f>
        <v>553.43654547392885</v>
      </c>
      <c r="L38" s="35">
        <f>F38*(1-E$11*E$21)</f>
        <v>897.75423047736831</v>
      </c>
      <c r="M38" s="25">
        <f>L38*B38</f>
        <v>157676166.5156621</v>
      </c>
      <c r="N38" s="15">
        <f>N37</f>
        <v>105.68701895014756</v>
      </c>
      <c r="O38" s="15">
        <f>(E$16-1)*N38</f>
        <v>23.251144169032461</v>
      </c>
      <c r="P38" s="15">
        <f>N38+O38</f>
        <v>128.93816311918002</v>
      </c>
      <c r="Q38" s="26">
        <f>I38*(1+S1)</f>
        <v>0.52300000000000002</v>
      </c>
      <c r="R38" s="58">
        <f>E$26</f>
        <v>1</v>
      </c>
      <c r="S38" s="31">
        <f>R38*Q38</f>
        <v>0.52300000000000002</v>
      </c>
      <c r="T38" s="39">
        <f>E$19</f>
        <v>0.23</v>
      </c>
      <c r="U38" s="32">
        <f>S38*(1+T38)</f>
        <v>0.64329000000000003</v>
      </c>
      <c r="V38" s="42">
        <f>B38*U38</f>
        <v>112983.59586</v>
      </c>
      <c r="W38" s="12">
        <f>P38*V38</f>
        <v>14567897.312788192</v>
      </c>
      <c r="X38" s="2">
        <f>M38+W38</f>
        <v>172244063.82845029</v>
      </c>
      <c r="Y38" s="52">
        <f>V38/E$26</f>
        <v>112983.59586</v>
      </c>
      <c r="Z38" s="76">
        <f>Y38/(X38/1000000)</f>
        <v>655.95059329608091</v>
      </c>
      <c r="AB38" s="103"/>
      <c r="AC38" s="104"/>
      <c r="AD38" s="144"/>
      <c r="AE38" s="145"/>
      <c r="AF38" s="145"/>
    </row>
    <row r="39" spans="1:32" s="10" customFormat="1" x14ac:dyDescent="0.25">
      <c r="A39" s="4" t="s">
        <v>0</v>
      </c>
      <c r="B39" s="36">
        <f>SUM(B37:B38)</f>
        <v>222400</v>
      </c>
      <c r="C39" s="34"/>
      <c r="D39" s="79"/>
      <c r="E39" s="7"/>
      <c r="F39" s="4"/>
      <c r="G39" s="173">
        <f>SUM(G37:G38)</f>
        <v>210168990.37701759</v>
      </c>
      <c r="H39" s="174"/>
      <c r="I39" s="66">
        <f>J39/B39</f>
        <v>0.60858346223021587</v>
      </c>
      <c r="J39" s="40">
        <f>SUM(J37:J38)</f>
        <v>135348.962</v>
      </c>
      <c r="K39" s="77">
        <f>J39/(G39/1000000)</f>
        <v>644.00062900430953</v>
      </c>
      <c r="L39" s="150"/>
      <c r="M39" s="5">
        <f>SUM(M37:M38)</f>
        <v>199660540.85816669</v>
      </c>
      <c r="N39" s="4"/>
      <c r="O39" s="4"/>
      <c r="P39" s="4"/>
      <c r="Q39" s="4"/>
      <c r="R39" s="8"/>
      <c r="S39" s="4"/>
      <c r="T39" s="62"/>
      <c r="U39" s="7"/>
      <c r="V39" s="13">
        <f>SUM(V37:V38)</f>
        <v>162999.83285999999</v>
      </c>
      <c r="W39" s="5">
        <f>SUM(W37:W38)</f>
        <v>19853964.300422262</v>
      </c>
      <c r="X39" s="5">
        <f>SUM(X37:X38)</f>
        <v>219514505.15858898</v>
      </c>
      <c r="Y39" s="40">
        <f>V39/E$26</f>
        <v>162999.83285999999</v>
      </c>
      <c r="Z39" s="77">
        <f>Y39/(X39/1000000)</f>
        <v>742.54697994667924</v>
      </c>
      <c r="AD39" s="146"/>
      <c r="AE39" s="147"/>
      <c r="AF39" s="147"/>
    </row>
    <row r="40" spans="1:32" s="10" customFormat="1" x14ac:dyDescent="0.25">
      <c r="A40" s="4" t="s">
        <v>1</v>
      </c>
      <c r="B40" s="28"/>
      <c r="C40" s="14"/>
      <c r="D40" s="80"/>
      <c r="E40" s="64"/>
      <c r="F40" s="5"/>
      <c r="G40" s="173">
        <f>G39/$B39</f>
        <v>945.00445313407192</v>
      </c>
      <c r="H40" s="174"/>
      <c r="I40" s="68"/>
      <c r="J40" s="40"/>
      <c r="K40" s="16"/>
      <c r="L40" s="9"/>
      <c r="M40" s="5">
        <f>M39/$B39</f>
        <v>897.7542304773682</v>
      </c>
      <c r="N40" s="27"/>
      <c r="O40" s="7"/>
      <c r="P40" s="7"/>
      <c r="Q40" s="7"/>
      <c r="R40" s="59"/>
      <c r="S40" s="8"/>
      <c r="T40" s="44"/>
      <c r="U40" s="8"/>
      <c r="V40" s="13"/>
      <c r="W40" s="5">
        <f>W39/$B39</f>
        <v>89.271422214128876</v>
      </c>
      <c r="X40" s="5">
        <f>X39/$B39</f>
        <v>987.02565269149716</v>
      </c>
      <c r="Y40" s="40"/>
      <c r="Z40" s="16"/>
      <c r="AD40" s="148"/>
      <c r="AE40" s="148"/>
      <c r="AF40" s="148"/>
    </row>
    <row r="41" spans="1:32" x14ac:dyDescent="0.25">
      <c r="E41" s="154"/>
      <c r="F41" s="154"/>
      <c r="G41" s="181"/>
      <c r="H41" s="181"/>
      <c r="I41" s="154"/>
      <c r="AD41" s="75"/>
      <c r="AE41" s="75"/>
      <c r="AF41" s="75"/>
    </row>
    <row r="42" spans="1:32" s="11" customFormat="1" x14ac:dyDescent="0.25">
      <c r="A42" s="19"/>
      <c r="B42" s="23" t="s">
        <v>5</v>
      </c>
      <c r="C42" s="182" t="s">
        <v>4</v>
      </c>
      <c r="D42" s="183"/>
      <c r="E42" s="183"/>
      <c r="F42" s="183"/>
      <c r="G42" s="183"/>
      <c r="H42" s="183"/>
      <c r="I42" s="183"/>
      <c r="J42" s="183"/>
      <c r="K42" s="184"/>
      <c r="L42" s="182" t="s">
        <v>3</v>
      </c>
      <c r="M42" s="183"/>
      <c r="N42" s="183"/>
      <c r="O42" s="183"/>
      <c r="P42" s="183"/>
      <c r="Q42" s="183"/>
      <c r="R42" s="183"/>
      <c r="S42" s="183"/>
      <c r="T42" s="183"/>
      <c r="U42" s="183"/>
      <c r="V42" s="183"/>
      <c r="W42" s="183"/>
      <c r="X42" s="183"/>
      <c r="Y42" s="183"/>
      <c r="Z42" s="184"/>
      <c r="AD42" s="149"/>
      <c r="AE42" s="149"/>
      <c r="AF42" s="149"/>
    </row>
    <row r="43" spans="1:32" s="10" customFormat="1" ht="29.25" customHeight="1" x14ac:dyDescent="0.25">
      <c r="A43" s="6" t="s">
        <v>8</v>
      </c>
      <c r="B43" s="53" t="s">
        <v>10</v>
      </c>
      <c r="C43" s="82" t="s">
        <v>2</v>
      </c>
      <c r="D43" s="90" t="s">
        <v>107</v>
      </c>
      <c r="E43" s="83" t="s">
        <v>0</v>
      </c>
      <c r="F43" s="84" t="s">
        <v>11</v>
      </c>
      <c r="G43" s="179" t="s">
        <v>111</v>
      </c>
      <c r="H43" s="180"/>
      <c r="I43" s="85" t="s">
        <v>57</v>
      </c>
      <c r="J43" s="86" t="s">
        <v>65</v>
      </c>
      <c r="K43" s="87" t="s">
        <v>80</v>
      </c>
      <c r="L43" s="151" t="s">
        <v>108</v>
      </c>
      <c r="M43" s="84" t="s">
        <v>106</v>
      </c>
      <c r="N43" s="53" t="s">
        <v>105</v>
      </c>
      <c r="O43" s="90" t="s">
        <v>107</v>
      </c>
      <c r="P43" s="53" t="s">
        <v>109</v>
      </c>
      <c r="Q43" s="88" t="s">
        <v>57</v>
      </c>
      <c r="R43" s="89" t="s">
        <v>16</v>
      </c>
      <c r="S43" s="90" t="s">
        <v>66</v>
      </c>
      <c r="T43" s="91" t="s">
        <v>17</v>
      </c>
      <c r="U43" s="53" t="s">
        <v>18</v>
      </c>
      <c r="V43" s="92" t="s">
        <v>12</v>
      </c>
      <c r="W43" s="93" t="s">
        <v>110</v>
      </c>
      <c r="X43" s="84" t="s">
        <v>81</v>
      </c>
      <c r="Y43" s="86" t="s">
        <v>65</v>
      </c>
      <c r="Z43" s="87" t="s">
        <v>80</v>
      </c>
    </row>
    <row r="44" spans="1:32" x14ac:dyDescent="0.25">
      <c r="A44" s="3" t="s">
        <v>49</v>
      </c>
      <c r="B44" s="63">
        <v>4000</v>
      </c>
      <c r="C44" s="17">
        <v>1</v>
      </c>
      <c r="D44" s="81">
        <v>0</v>
      </c>
      <c r="E44" s="46">
        <f t="shared" ref="E44" si="1">C44+D44</f>
        <v>1</v>
      </c>
      <c r="F44" s="2">
        <f>E$5</f>
        <v>945.00445313407192</v>
      </c>
      <c r="G44" s="175">
        <f>E44*F44*B44</f>
        <v>3780017.8125362876</v>
      </c>
      <c r="H44" s="176"/>
      <c r="I44" s="65">
        <f>E8</f>
        <v>0.93</v>
      </c>
      <c r="J44" s="42">
        <f>B44*I44</f>
        <v>3720</v>
      </c>
      <c r="K44" s="76">
        <f>J44/(G44/1000000)</f>
        <v>984.12234663624054</v>
      </c>
      <c r="L44" s="35">
        <f>F44*(1-E$11*E$21)</f>
        <v>897.75423047736831</v>
      </c>
      <c r="M44" s="25">
        <f>L44*B44</f>
        <v>3591016.9219094734</v>
      </c>
      <c r="N44" s="15">
        <f>N37</f>
        <v>105.68701895014756</v>
      </c>
      <c r="O44" s="15">
        <v>0</v>
      </c>
      <c r="P44" s="15">
        <f>N44+O44</f>
        <v>105.68701895014756</v>
      </c>
      <c r="Q44" s="26">
        <f>Q37</f>
        <v>0.93</v>
      </c>
      <c r="R44" s="58">
        <f>E$26</f>
        <v>1</v>
      </c>
      <c r="S44" s="31">
        <f>R44*Q44</f>
        <v>0.93</v>
      </c>
      <c r="T44" s="39">
        <f>E$18</f>
        <v>0.15</v>
      </c>
      <c r="U44" s="32">
        <f>S44*(1+T44)</f>
        <v>1.0694999999999999</v>
      </c>
      <c r="V44" s="42">
        <f>B44*U44</f>
        <v>4278</v>
      </c>
      <c r="W44" s="12">
        <f>P44*V44</f>
        <v>452129.06706873124</v>
      </c>
      <c r="X44" s="2">
        <f>M44+W44</f>
        <v>4043145.9889782048</v>
      </c>
      <c r="Y44" s="52">
        <f>V44/E$26</f>
        <v>4278</v>
      </c>
      <c r="Z44" s="76">
        <f>Y44/(X44/1000000)</f>
        <v>1058.0869480503591</v>
      </c>
    </row>
    <row r="45" spans="1:32" x14ac:dyDescent="0.25">
      <c r="A45" s="3" t="s">
        <v>91</v>
      </c>
      <c r="B45" s="63">
        <v>1000</v>
      </c>
      <c r="C45" s="17">
        <v>1</v>
      </c>
      <c r="D45" s="81">
        <f>E$6-1</f>
        <v>0</v>
      </c>
      <c r="E45" s="46">
        <f t="shared" ref="E45" si="2">C45+D45</f>
        <v>1</v>
      </c>
      <c r="F45" s="2">
        <f>E$5</f>
        <v>945.00445313407192</v>
      </c>
      <c r="G45" s="175">
        <f>E45*F45*B45</f>
        <v>945004.4531340719</v>
      </c>
      <c r="H45" s="176"/>
      <c r="I45" s="65">
        <f>E9</f>
        <v>0.52300000000000002</v>
      </c>
      <c r="J45" s="42">
        <f>B45*I45</f>
        <v>523</v>
      </c>
      <c r="K45" s="76">
        <f>J45/(G45/1000000)</f>
        <v>553.43654547392885</v>
      </c>
      <c r="L45" s="35">
        <f>F45*(1-E$11*E$21)</f>
        <v>897.75423047736831</v>
      </c>
      <c r="M45" s="25">
        <f>L45*B45</f>
        <v>897754.23047736834</v>
      </c>
      <c r="N45" s="15">
        <f>N38</f>
        <v>105.68701895014756</v>
      </c>
      <c r="O45" s="15">
        <f>(E$16-1)*N45</f>
        <v>23.251144169032461</v>
      </c>
      <c r="P45" s="15">
        <f>N45+O45</f>
        <v>128.93816311918002</v>
      </c>
      <c r="Q45" s="26">
        <f>Q38</f>
        <v>0.52300000000000002</v>
      </c>
      <c r="R45" s="58">
        <f>E$26</f>
        <v>1</v>
      </c>
      <c r="S45" s="31">
        <f>R45*Q45</f>
        <v>0.52300000000000002</v>
      </c>
      <c r="T45" s="39">
        <f>E$19</f>
        <v>0.23</v>
      </c>
      <c r="U45" s="32">
        <f>S45*(1+T45)</f>
        <v>0.64329000000000003</v>
      </c>
      <c r="V45" s="42">
        <f>B45*U45</f>
        <v>643.29000000000008</v>
      </c>
      <c r="W45" s="12">
        <f>P45*V45</f>
        <v>82944.630952937325</v>
      </c>
      <c r="X45" s="2">
        <f>M45+W45</f>
        <v>980698.86143030564</v>
      </c>
      <c r="Y45" s="52">
        <f>V45/E$26</f>
        <v>643.29000000000008</v>
      </c>
      <c r="Z45" s="76">
        <f>Y45/(X45/1000000)</f>
        <v>655.95059329608102</v>
      </c>
    </row>
    <row r="46" spans="1:32" s="10" customFormat="1" x14ac:dyDescent="0.25">
      <c r="A46" s="4" t="s">
        <v>0</v>
      </c>
      <c r="B46" s="28">
        <f>SUM(B44:B45)</f>
        <v>5000</v>
      </c>
      <c r="C46" s="14"/>
      <c r="D46" s="80"/>
      <c r="E46" s="64"/>
      <c r="F46" s="5"/>
      <c r="G46" s="173">
        <f>SUM(G44:G45)</f>
        <v>4725022.2656703591</v>
      </c>
      <c r="H46" s="174"/>
      <c r="I46" s="66">
        <f>J46/B46</f>
        <v>0.84860000000000002</v>
      </c>
      <c r="J46" s="40">
        <f>SUM(J44:J45)</f>
        <v>4243</v>
      </c>
      <c r="K46" s="77">
        <f>J46/(G46/1000000)</f>
        <v>897.98518640377813</v>
      </c>
      <c r="L46" s="150"/>
      <c r="M46" s="5">
        <f>SUM(M44:M45)</f>
        <v>4488771.1523868414</v>
      </c>
      <c r="N46" s="27"/>
      <c r="O46" s="7"/>
      <c r="P46" s="7"/>
      <c r="Q46" s="7"/>
      <c r="R46" s="59"/>
      <c r="S46" s="13"/>
      <c r="T46" s="44"/>
      <c r="U46" s="13"/>
      <c r="V46" s="13">
        <f>SUM(V44:V45)</f>
        <v>4921.29</v>
      </c>
      <c r="W46" s="5">
        <f>SUM(W44:W45)</f>
        <v>535073.69802166859</v>
      </c>
      <c r="X46" s="5">
        <f>SUM(X44:X45)</f>
        <v>5023844.8504085103</v>
      </c>
      <c r="Y46" s="40">
        <f>V46/E$26</f>
        <v>4921.29</v>
      </c>
      <c r="Z46" s="77">
        <f>Y46/(X46/1000000)</f>
        <v>979.58638185250265</v>
      </c>
    </row>
    <row r="47" spans="1:32" s="10" customFormat="1" x14ac:dyDescent="0.25">
      <c r="A47" s="4" t="s">
        <v>6</v>
      </c>
      <c r="B47" s="28"/>
      <c r="C47" s="14"/>
      <c r="D47" s="80"/>
      <c r="E47" s="64"/>
      <c r="F47" s="5"/>
      <c r="G47" s="177">
        <f>G46/$B46</f>
        <v>945.00445313407181</v>
      </c>
      <c r="H47" s="178"/>
      <c r="I47" s="67"/>
      <c r="J47" s="43"/>
      <c r="K47" s="16"/>
      <c r="L47" s="9"/>
      <c r="M47" s="5">
        <f>M46/$B46</f>
        <v>897.75423047736831</v>
      </c>
      <c r="N47" s="7"/>
      <c r="O47" s="7"/>
      <c r="P47" s="7"/>
      <c r="Q47" s="7"/>
      <c r="R47" s="59"/>
      <c r="S47" s="8"/>
      <c r="T47" s="44"/>
      <c r="U47" s="38"/>
      <c r="V47" s="49"/>
      <c r="W47" s="5">
        <f>W46/$B46</f>
        <v>107.01473960433371</v>
      </c>
      <c r="X47" s="5">
        <f>X46/B46</f>
        <v>1004.768970081702</v>
      </c>
      <c r="Y47" s="40"/>
      <c r="Z47" s="16"/>
    </row>
    <row r="48" spans="1:32" x14ac:dyDescent="0.25">
      <c r="B48" s="29"/>
      <c r="E48" s="154"/>
      <c r="F48" s="154"/>
      <c r="G48" s="154"/>
      <c r="H48" s="154"/>
      <c r="I48" s="154"/>
    </row>
    <row r="49" spans="1:26" s="11" customFormat="1" x14ac:dyDescent="0.25">
      <c r="A49" s="19"/>
      <c r="B49" s="30" t="s">
        <v>5</v>
      </c>
      <c r="C49" s="182" t="s">
        <v>4</v>
      </c>
      <c r="D49" s="183"/>
      <c r="E49" s="183"/>
      <c r="F49" s="183"/>
      <c r="G49" s="183"/>
      <c r="H49" s="183"/>
      <c r="I49" s="183"/>
      <c r="J49" s="183"/>
      <c r="K49" s="184"/>
      <c r="L49" s="182" t="s">
        <v>3</v>
      </c>
      <c r="M49" s="183"/>
      <c r="N49" s="183"/>
      <c r="O49" s="183"/>
      <c r="P49" s="183"/>
      <c r="Q49" s="183"/>
      <c r="R49" s="183"/>
      <c r="S49" s="183"/>
      <c r="T49" s="183"/>
      <c r="U49" s="183"/>
      <c r="V49" s="183"/>
      <c r="W49" s="183"/>
      <c r="X49" s="183"/>
      <c r="Y49" s="183"/>
      <c r="Z49" s="184"/>
    </row>
    <row r="50" spans="1:26" s="10" customFormat="1" ht="31.5" customHeight="1" x14ac:dyDescent="0.25">
      <c r="A50" s="6" t="s">
        <v>9</v>
      </c>
      <c r="B50" s="53" t="s">
        <v>10</v>
      </c>
      <c r="C50" s="82" t="s">
        <v>2</v>
      </c>
      <c r="D50" s="90" t="s">
        <v>107</v>
      </c>
      <c r="E50" s="83" t="s">
        <v>0</v>
      </c>
      <c r="F50" s="84" t="s">
        <v>11</v>
      </c>
      <c r="G50" s="179" t="s">
        <v>111</v>
      </c>
      <c r="H50" s="180"/>
      <c r="I50" s="85" t="s">
        <v>57</v>
      </c>
      <c r="J50" s="86" t="s">
        <v>65</v>
      </c>
      <c r="K50" s="87" t="s">
        <v>80</v>
      </c>
      <c r="L50" s="151" t="s">
        <v>108</v>
      </c>
      <c r="M50" s="84" t="s">
        <v>106</v>
      </c>
      <c r="N50" s="53" t="s">
        <v>105</v>
      </c>
      <c r="O50" s="90" t="s">
        <v>107</v>
      </c>
      <c r="P50" s="53" t="s">
        <v>109</v>
      </c>
      <c r="Q50" s="88" t="s">
        <v>57</v>
      </c>
      <c r="R50" s="89" t="s">
        <v>16</v>
      </c>
      <c r="S50" s="90" t="s">
        <v>66</v>
      </c>
      <c r="T50" s="91" t="s">
        <v>17</v>
      </c>
      <c r="U50" s="53" t="s">
        <v>18</v>
      </c>
      <c r="V50" s="92" t="s">
        <v>12</v>
      </c>
      <c r="W50" s="93" t="s">
        <v>110</v>
      </c>
      <c r="X50" s="84" t="s">
        <v>81</v>
      </c>
      <c r="Y50" s="86" t="s">
        <v>65</v>
      </c>
      <c r="Z50" s="87" t="s">
        <v>80</v>
      </c>
    </row>
    <row r="51" spans="1:26" x14ac:dyDescent="0.25">
      <c r="A51" s="3" t="s">
        <v>49</v>
      </c>
      <c r="B51" s="63">
        <v>1000</v>
      </c>
      <c r="C51" s="17">
        <v>1</v>
      </c>
      <c r="D51" s="81">
        <v>0</v>
      </c>
      <c r="E51" s="46">
        <f t="shared" ref="E51:E52" si="3">C51+D51</f>
        <v>1</v>
      </c>
      <c r="F51" s="2">
        <f>E$5</f>
        <v>945.00445313407192</v>
      </c>
      <c r="G51" s="175">
        <f>E51*F51*B51</f>
        <v>945004.4531340719</v>
      </c>
      <c r="H51" s="176"/>
      <c r="I51" s="65">
        <f>I44</f>
        <v>0.93</v>
      </c>
      <c r="J51" s="42">
        <f>B51*I51</f>
        <v>930</v>
      </c>
      <c r="K51" s="76">
        <f>J51/(G51/1000000)</f>
        <v>984.12234663624054</v>
      </c>
      <c r="L51" s="35">
        <f>F51*(1-E$11*E$21)</f>
        <v>897.75423047736831</v>
      </c>
      <c r="M51" s="25">
        <f>L51*B51</f>
        <v>897754.23047736834</v>
      </c>
      <c r="N51" s="15">
        <f>N37</f>
        <v>105.68701895014756</v>
      </c>
      <c r="O51" s="15">
        <v>0</v>
      </c>
      <c r="P51" s="15">
        <f>N51+O51</f>
        <v>105.68701895014756</v>
      </c>
      <c r="Q51" s="26">
        <f>Q44</f>
        <v>0.93</v>
      </c>
      <c r="R51" s="58">
        <f>E$26</f>
        <v>1</v>
      </c>
      <c r="S51" s="31">
        <f>R51*Q51</f>
        <v>0.93</v>
      </c>
      <c r="T51" s="39">
        <f>E$18</f>
        <v>0.15</v>
      </c>
      <c r="U51" s="32">
        <f>S51*(1+T51)</f>
        <v>1.0694999999999999</v>
      </c>
      <c r="V51" s="42">
        <f>B51*U51</f>
        <v>1069.5</v>
      </c>
      <c r="W51" s="12">
        <f>P51*V51</f>
        <v>113032.26676718281</v>
      </c>
      <c r="X51" s="2">
        <f>M51+W51</f>
        <v>1010786.4972445512</v>
      </c>
      <c r="Y51" s="52">
        <f>V51/E$26</f>
        <v>1069.5</v>
      </c>
      <c r="Z51" s="76">
        <f>Y51/(X51/1000000)</f>
        <v>1058.0869480503591</v>
      </c>
    </row>
    <row r="52" spans="1:26" x14ac:dyDescent="0.25">
      <c r="A52" s="3" t="s">
        <v>91</v>
      </c>
      <c r="B52" s="63">
        <v>4000</v>
      </c>
      <c r="C52" s="17">
        <v>1</v>
      </c>
      <c r="D52" s="81">
        <f>(E$6-1)*C52</f>
        <v>0</v>
      </c>
      <c r="E52" s="46">
        <f t="shared" si="3"/>
        <v>1</v>
      </c>
      <c r="F52" s="2">
        <f>E$5</f>
        <v>945.00445313407192</v>
      </c>
      <c r="G52" s="175">
        <f>E52*F52*B52</f>
        <v>3780017.8125362876</v>
      </c>
      <c r="H52" s="176"/>
      <c r="I52" s="65">
        <f>I45</f>
        <v>0.52300000000000002</v>
      </c>
      <c r="J52" s="42">
        <f>B52*I52</f>
        <v>2092</v>
      </c>
      <c r="K52" s="76">
        <f>J52/(G52/1000000)</f>
        <v>553.43654547392885</v>
      </c>
      <c r="L52" s="35">
        <f>F52*(1-E$11*E$21)</f>
        <v>897.75423047736831</v>
      </c>
      <c r="M52" s="25">
        <f>L52*B52</f>
        <v>3591016.9219094734</v>
      </c>
      <c r="N52" s="15">
        <f>N38</f>
        <v>105.68701895014756</v>
      </c>
      <c r="O52" s="15">
        <f>(E$16-1)*N52</f>
        <v>23.251144169032461</v>
      </c>
      <c r="P52" s="15">
        <f>N52+O52</f>
        <v>128.93816311918002</v>
      </c>
      <c r="Q52" s="26">
        <f>Q45</f>
        <v>0.52300000000000002</v>
      </c>
      <c r="R52" s="58">
        <f>E$26</f>
        <v>1</v>
      </c>
      <c r="S52" s="31">
        <f>R52*Q52</f>
        <v>0.52300000000000002</v>
      </c>
      <c r="T52" s="39">
        <f>E$19</f>
        <v>0.23</v>
      </c>
      <c r="U52" s="32">
        <f>S52*(1+T52)</f>
        <v>0.64329000000000003</v>
      </c>
      <c r="V52" s="42">
        <f>B52*U52</f>
        <v>2573.1600000000003</v>
      </c>
      <c r="W52" s="12">
        <f>P52*V52</f>
        <v>331778.5238117493</v>
      </c>
      <c r="X52" s="2">
        <f>M52+W52</f>
        <v>3922795.4457212226</v>
      </c>
      <c r="Y52" s="52">
        <f>V52/E$26</f>
        <v>2573.1600000000003</v>
      </c>
      <c r="Z52" s="76">
        <f>Y52/(X52/1000000)</f>
        <v>655.95059329608102</v>
      </c>
    </row>
    <row r="53" spans="1:26" s="10" customFormat="1" x14ac:dyDescent="0.25">
      <c r="A53" s="4" t="s">
        <v>0</v>
      </c>
      <c r="B53" s="28">
        <f>SUM(B51:B52)</f>
        <v>5000</v>
      </c>
      <c r="C53" s="14"/>
      <c r="D53" s="80"/>
      <c r="E53" s="64"/>
      <c r="F53" s="5"/>
      <c r="G53" s="173">
        <f>SUM(G51:G52)</f>
        <v>4725022.2656703591</v>
      </c>
      <c r="H53" s="174"/>
      <c r="I53" s="66">
        <f>J53/B53</f>
        <v>0.60440000000000005</v>
      </c>
      <c r="J53" s="40">
        <f>SUM(J51:J52)</f>
        <v>3022</v>
      </c>
      <c r="K53" s="77">
        <f>J53/(G53/1000000)</f>
        <v>639.57370570639114</v>
      </c>
      <c r="L53" s="150"/>
      <c r="M53" s="5">
        <f>SUM(M51:M52)</f>
        <v>4488771.1523868414</v>
      </c>
      <c r="N53" s="27"/>
      <c r="O53" s="7"/>
      <c r="P53" s="7"/>
      <c r="Q53" s="7"/>
      <c r="R53" s="59"/>
      <c r="S53" s="13"/>
      <c r="T53" s="44"/>
      <c r="U53" s="13"/>
      <c r="V53" s="13">
        <f>SUM(V51:V52)</f>
        <v>3642.6600000000003</v>
      </c>
      <c r="W53" s="5">
        <f>SUM(W51:W52)</f>
        <v>444810.79057893209</v>
      </c>
      <c r="X53" s="5">
        <f>SUM(X51:X52)</f>
        <v>4933581.9429657739</v>
      </c>
      <c r="Y53" s="40">
        <f>V53/E$26</f>
        <v>3642.6600000000003</v>
      </c>
      <c r="Z53" s="77">
        <f>Y53/(X53/1000000)</f>
        <v>738.33981924505167</v>
      </c>
    </row>
    <row r="54" spans="1:26" s="10" customFormat="1" x14ac:dyDescent="0.25">
      <c r="A54" s="4" t="s">
        <v>1</v>
      </c>
      <c r="B54" s="28"/>
      <c r="C54" s="14"/>
      <c r="D54" s="80"/>
      <c r="E54" s="64"/>
      <c r="F54" s="5"/>
      <c r="G54" s="173">
        <f>G53/$B53</f>
        <v>945.00445313407181</v>
      </c>
      <c r="H54" s="174"/>
      <c r="I54" s="24"/>
      <c r="J54" s="40"/>
      <c r="K54" s="16"/>
      <c r="L54" s="9"/>
      <c r="M54" s="5">
        <f>M53/$B53</f>
        <v>897.75423047736831</v>
      </c>
      <c r="N54" s="7"/>
      <c r="O54" s="7"/>
      <c r="P54" s="7"/>
      <c r="Q54" s="7"/>
      <c r="R54" s="59"/>
      <c r="S54" s="8"/>
      <c r="T54" s="44"/>
      <c r="U54" s="8"/>
      <c r="V54" s="13"/>
      <c r="W54" s="5">
        <f>W53/$B53</f>
        <v>88.962158115786423</v>
      </c>
      <c r="X54" s="5">
        <f>X53/B53</f>
        <v>986.71638859315476</v>
      </c>
      <c r="Y54" s="40"/>
      <c r="Z54" s="16"/>
    </row>
    <row r="55" spans="1:26" s="75" customFormat="1" x14ac:dyDescent="0.25">
      <c r="B55" s="121"/>
      <c r="D55" s="72"/>
      <c r="J55" s="122"/>
      <c r="R55" s="123"/>
      <c r="T55" s="124"/>
      <c r="V55" s="122"/>
      <c r="W55" s="125"/>
      <c r="Y55" s="122"/>
      <c r="Z55" s="125"/>
    </row>
    <row r="56" spans="1:26" s="75" customFormat="1" x14ac:dyDescent="0.25">
      <c r="B56" s="121"/>
      <c r="D56" s="72"/>
      <c r="J56" s="122"/>
      <c r="R56" s="123"/>
      <c r="T56" s="124"/>
      <c r="V56" s="122"/>
      <c r="W56" s="125"/>
      <c r="Y56" s="122"/>
      <c r="Z56" s="125"/>
    </row>
    <row r="57" spans="1:26" s="75" customFormat="1" x14ac:dyDescent="0.25">
      <c r="B57" s="121"/>
      <c r="D57" s="72"/>
      <c r="J57" s="122"/>
      <c r="R57" s="123"/>
      <c r="T57" s="124"/>
      <c r="V57" s="122"/>
      <c r="W57" s="125"/>
      <c r="Y57" s="122"/>
      <c r="Z57" s="125"/>
    </row>
    <row r="58" spans="1:26" s="75" customFormat="1" x14ac:dyDescent="0.25">
      <c r="B58" s="121"/>
      <c r="D58" s="72"/>
      <c r="J58" s="122"/>
      <c r="R58" s="123"/>
      <c r="T58" s="124"/>
      <c r="V58" s="122"/>
      <c r="W58" s="125"/>
      <c r="Y58" s="122"/>
      <c r="Z58" s="125"/>
    </row>
    <row r="59" spans="1:26" s="75" customFormat="1" x14ac:dyDescent="0.25">
      <c r="B59" s="121"/>
      <c r="D59" s="72"/>
      <c r="J59" s="122"/>
      <c r="R59" s="123"/>
      <c r="T59" s="124"/>
      <c r="V59" s="122"/>
      <c r="W59" s="125"/>
      <c r="Y59" s="122"/>
      <c r="Z59" s="125"/>
    </row>
    <row r="60" spans="1:26" s="75" customFormat="1" x14ac:dyDescent="0.25">
      <c r="B60" s="121"/>
      <c r="D60" s="72"/>
      <c r="J60" s="122"/>
      <c r="R60" s="123"/>
      <c r="T60" s="124"/>
      <c r="V60" s="122"/>
      <c r="W60" s="125"/>
      <c r="Y60" s="122"/>
      <c r="Z60" s="125"/>
    </row>
    <row r="61" spans="1:26" s="75" customFormat="1" x14ac:dyDescent="0.25">
      <c r="B61" s="121"/>
      <c r="D61" s="72"/>
      <c r="J61" s="122"/>
      <c r="R61" s="123"/>
      <c r="T61" s="124"/>
      <c r="V61" s="122"/>
      <c r="W61" s="125"/>
      <c r="Y61" s="122"/>
      <c r="Z61" s="125"/>
    </row>
    <row r="62" spans="1:26" s="75" customFormat="1" x14ac:dyDescent="0.25">
      <c r="B62" s="121"/>
      <c r="D62" s="72"/>
      <c r="J62" s="122"/>
      <c r="R62" s="123"/>
      <c r="T62" s="124"/>
      <c r="V62" s="122"/>
      <c r="W62" s="125"/>
      <c r="Y62" s="122"/>
      <c r="Z62" s="125"/>
    </row>
    <row r="63" spans="1:26" s="75" customFormat="1" x14ac:dyDescent="0.25">
      <c r="B63" s="121"/>
      <c r="D63" s="72"/>
      <c r="J63" s="122"/>
      <c r="R63" s="123"/>
      <c r="T63" s="124"/>
      <c r="V63" s="122"/>
      <c r="W63" s="125"/>
      <c r="Y63" s="122"/>
      <c r="Z63" s="125"/>
    </row>
    <row r="64" spans="1:26" s="75" customFormat="1" x14ac:dyDescent="0.25">
      <c r="B64" s="121"/>
      <c r="D64" s="72"/>
      <c r="J64" s="122"/>
      <c r="R64" s="123"/>
      <c r="T64" s="124"/>
      <c r="V64" s="122"/>
      <c r="W64" s="125"/>
      <c r="Y64" s="122"/>
      <c r="Z64" s="125"/>
    </row>
    <row r="65" spans="2:26" s="75" customFormat="1" x14ac:dyDescent="0.25">
      <c r="B65" s="121"/>
      <c r="D65" s="72"/>
      <c r="J65" s="122"/>
      <c r="R65" s="123"/>
      <c r="T65" s="124"/>
      <c r="V65" s="122"/>
      <c r="W65" s="125"/>
      <c r="Y65" s="122"/>
      <c r="Z65" s="125"/>
    </row>
    <row r="66" spans="2:26" s="75" customFormat="1" x14ac:dyDescent="0.25">
      <c r="B66" s="121"/>
      <c r="D66" s="72"/>
      <c r="J66" s="122"/>
      <c r="R66" s="123"/>
      <c r="T66" s="124"/>
      <c r="V66" s="122"/>
      <c r="W66" s="125"/>
      <c r="Y66" s="122"/>
      <c r="Z66" s="125"/>
    </row>
    <row r="67" spans="2:26" s="75" customFormat="1" x14ac:dyDescent="0.25">
      <c r="B67" s="121"/>
      <c r="D67" s="72"/>
      <c r="J67" s="122"/>
      <c r="R67" s="123"/>
      <c r="T67" s="124"/>
      <c r="V67" s="122"/>
      <c r="W67" s="125"/>
      <c r="Y67" s="122"/>
      <c r="Z67" s="125"/>
    </row>
    <row r="68" spans="2:26" s="75" customFormat="1" x14ac:dyDescent="0.25">
      <c r="B68" s="121"/>
      <c r="D68" s="72"/>
      <c r="J68" s="122"/>
      <c r="R68" s="123"/>
      <c r="T68" s="124"/>
      <c r="V68" s="122"/>
      <c r="W68" s="125"/>
      <c r="Y68" s="122"/>
      <c r="Z68" s="125"/>
    </row>
    <row r="69" spans="2:26" s="75" customFormat="1" x14ac:dyDescent="0.25">
      <c r="B69" s="121"/>
      <c r="D69" s="72"/>
      <c r="J69" s="122"/>
      <c r="R69" s="123"/>
      <c r="T69" s="124"/>
      <c r="V69" s="122"/>
      <c r="W69" s="125"/>
      <c r="Y69" s="122"/>
      <c r="Z69" s="125"/>
    </row>
    <row r="70" spans="2:26" s="75" customFormat="1" x14ac:dyDescent="0.25">
      <c r="B70" s="121"/>
      <c r="D70" s="72"/>
      <c r="J70" s="122"/>
      <c r="R70" s="123"/>
      <c r="T70" s="124"/>
      <c r="V70" s="122"/>
      <c r="W70" s="125"/>
      <c r="Y70" s="122"/>
      <c r="Z70" s="125"/>
    </row>
    <row r="71" spans="2:26" s="75" customFormat="1" x14ac:dyDescent="0.25">
      <c r="B71" s="121"/>
      <c r="D71" s="72"/>
      <c r="J71" s="122"/>
      <c r="R71" s="123"/>
      <c r="T71" s="124"/>
      <c r="V71" s="122"/>
      <c r="W71" s="125"/>
      <c r="Y71" s="122"/>
      <c r="Z71" s="125"/>
    </row>
    <row r="72" spans="2:26" s="75" customFormat="1" x14ac:dyDescent="0.25">
      <c r="B72" s="121"/>
      <c r="D72" s="72"/>
      <c r="J72" s="122"/>
      <c r="R72" s="123"/>
      <c r="T72" s="124"/>
      <c r="V72" s="122"/>
      <c r="W72" s="125"/>
      <c r="Y72" s="122"/>
      <c r="Z72" s="125"/>
    </row>
    <row r="73" spans="2:26" s="75" customFormat="1" x14ac:dyDescent="0.25">
      <c r="B73" s="121"/>
      <c r="D73" s="72"/>
      <c r="J73" s="122"/>
      <c r="R73" s="123"/>
      <c r="T73" s="124"/>
      <c r="V73" s="122"/>
      <c r="W73" s="125"/>
      <c r="Y73" s="122"/>
      <c r="Z73" s="125"/>
    </row>
    <row r="74" spans="2:26" s="75" customFormat="1" x14ac:dyDescent="0.25">
      <c r="B74" s="121"/>
      <c r="D74" s="72"/>
      <c r="J74" s="122"/>
      <c r="R74" s="123"/>
      <c r="T74" s="124"/>
      <c r="V74" s="122"/>
      <c r="W74" s="125"/>
      <c r="Y74" s="122"/>
      <c r="Z74" s="125"/>
    </row>
    <row r="75" spans="2:26" s="75" customFormat="1" x14ac:dyDescent="0.25">
      <c r="B75" s="121"/>
      <c r="D75" s="72"/>
      <c r="J75" s="122"/>
      <c r="R75" s="123"/>
      <c r="T75" s="124"/>
      <c r="V75" s="122"/>
      <c r="W75" s="125"/>
      <c r="Y75" s="122"/>
      <c r="Z75" s="125"/>
    </row>
    <row r="76" spans="2:26" s="75" customFormat="1" x14ac:dyDescent="0.25">
      <c r="B76" s="121"/>
      <c r="D76" s="72"/>
      <c r="J76" s="122"/>
      <c r="R76" s="123"/>
      <c r="T76" s="124"/>
      <c r="V76" s="122"/>
      <c r="W76" s="125"/>
      <c r="Y76" s="122"/>
      <c r="Z76" s="125"/>
    </row>
    <row r="77" spans="2:26" s="75" customFormat="1" x14ac:dyDescent="0.25">
      <c r="B77" s="121"/>
      <c r="D77" s="72"/>
      <c r="J77" s="122"/>
      <c r="R77" s="123"/>
      <c r="T77" s="124"/>
      <c r="V77" s="122"/>
      <c r="W77" s="125"/>
      <c r="Y77" s="122"/>
      <c r="Z77" s="125"/>
    </row>
    <row r="78" spans="2:26" s="75" customFormat="1" x14ac:dyDescent="0.25">
      <c r="B78" s="121"/>
      <c r="D78" s="72"/>
      <c r="J78" s="122"/>
      <c r="R78" s="123"/>
      <c r="T78" s="124"/>
      <c r="V78" s="122"/>
      <c r="W78" s="125"/>
      <c r="Y78" s="122"/>
      <c r="Z78" s="125"/>
    </row>
    <row r="79" spans="2:26" s="75" customFormat="1" x14ac:dyDescent="0.25">
      <c r="B79" s="121"/>
      <c r="D79" s="72"/>
      <c r="J79" s="122"/>
      <c r="R79" s="123"/>
      <c r="T79" s="124"/>
      <c r="V79" s="122"/>
      <c r="W79" s="125"/>
      <c r="Y79" s="122"/>
      <c r="Z79" s="125"/>
    </row>
    <row r="80" spans="2:26" s="75" customFormat="1" x14ac:dyDescent="0.25">
      <c r="B80" s="121"/>
      <c r="D80" s="72"/>
      <c r="J80" s="122"/>
      <c r="R80" s="123"/>
      <c r="T80" s="124"/>
      <c r="V80" s="122"/>
      <c r="W80" s="125"/>
      <c r="Y80" s="122"/>
      <c r="Z80" s="125"/>
    </row>
    <row r="81" spans="2:26" s="75" customFormat="1" x14ac:dyDescent="0.25">
      <c r="B81" s="121"/>
      <c r="D81" s="72"/>
      <c r="J81" s="122"/>
      <c r="R81" s="123"/>
      <c r="T81" s="124"/>
      <c r="V81" s="122"/>
      <c r="W81" s="125"/>
      <c r="Y81" s="122"/>
      <c r="Z81" s="125"/>
    </row>
    <row r="82" spans="2:26" s="75" customFormat="1" x14ac:dyDescent="0.25">
      <c r="B82" s="121"/>
      <c r="D82" s="72"/>
      <c r="J82" s="122"/>
      <c r="R82" s="123"/>
      <c r="T82" s="124"/>
      <c r="V82" s="122"/>
      <c r="W82" s="125"/>
      <c r="Y82" s="122"/>
      <c r="Z82" s="125"/>
    </row>
    <row r="83" spans="2:26" s="75" customFormat="1" x14ac:dyDescent="0.25">
      <c r="B83" s="121"/>
      <c r="D83" s="72"/>
      <c r="J83" s="122"/>
      <c r="R83" s="123"/>
      <c r="T83" s="124"/>
      <c r="V83" s="122"/>
      <c r="W83" s="125"/>
      <c r="Y83" s="122"/>
      <c r="Z83" s="125"/>
    </row>
    <row r="84" spans="2:26" s="75" customFormat="1" x14ac:dyDescent="0.25">
      <c r="B84" s="121"/>
      <c r="D84" s="72"/>
      <c r="J84" s="122"/>
      <c r="R84" s="123"/>
      <c r="T84" s="124"/>
      <c r="V84" s="122"/>
      <c r="W84" s="125"/>
      <c r="Y84" s="122"/>
      <c r="Z84" s="125"/>
    </row>
    <row r="85" spans="2:26" s="75" customFormat="1" x14ac:dyDescent="0.25">
      <c r="B85" s="121"/>
      <c r="D85" s="72"/>
      <c r="J85" s="122"/>
      <c r="R85" s="123"/>
      <c r="T85" s="124"/>
      <c r="V85" s="122"/>
      <c r="W85" s="125"/>
      <c r="Y85" s="122"/>
      <c r="Z85" s="125"/>
    </row>
    <row r="86" spans="2:26" s="75" customFormat="1" x14ac:dyDescent="0.25">
      <c r="B86" s="121"/>
      <c r="D86" s="72"/>
      <c r="J86" s="122"/>
      <c r="R86" s="123"/>
      <c r="T86" s="124"/>
      <c r="V86" s="122"/>
      <c r="W86" s="125"/>
      <c r="Y86" s="122"/>
      <c r="Z86" s="125"/>
    </row>
    <row r="87" spans="2:26" s="75" customFormat="1" x14ac:dyDescent="0.25">
      <c r="B87" s="121"/>
      <c r="D87" s="72"/>
      <c r="J87" s="122"/>
      <c r="R87" s="123"/>
      <c r="T87" s="124"/>
      <c r="V87" s="122"/>
      <c r="W87" s="125"/>
      <c r="Y87" s="122"/>
      <c r="Z87" s="125"/>
    </row>
    <row r="88" spans="2:26" s="75" customFormat="1" x14ac:dyDescent="0.25">
      <c r="B88" s="121"/>
      <c r="D88" s="72"/>
      <c r="J88" s="122"/>
      <c r="R88" s="123"/>
      <c r="T88" s="124"/>
      <c r="V88" s="122"/>
      <c r="W88" s="125"/>
      <c r="Y88" s="122"/>
      <c r="Z88" s="125"/>
    </row>
    <row r="89" spans="2:26" s="75" customFormat="1" x14ac:dyDescent="0.25">
      <c r="B89" s="121"/>
      <c r="D89" s="72"/>
      <c r="J89" s="122"/>
      <c r="R89" s="123"/>
      <c r="T89" s="124"/>
      <c r="V89" s="122"/>
      <c r="W89" s="125"/>
      <c r="Y89" s="122"/>
      <c r="Z89" s="125"/>
    </row>
    <row r="90" spans="2:26" s="75" customFormat="1" x14ac:dyDescent="0.25">
      <c r="B90" s="121"/>
      <c r="D90" s="72"/>
      <c r="J90" s="122"/>
      <c r="R90" s="123"/>
      <c r="T90" s="124"/>
      <c r="V90" s="122"/>
      <c r="W90" s="125"/>
      <c r="Y90" s="122"/>
      <c r="Z90" s="125"/>
    </row>
    <row r="91" spans="2:26" s="75" customFormat="1" x14ac:dyDescent="0.25">
      <c r="B91" s="121"/>
      <c r="D91" s="72"/>
      <c r="J91" s="122"/>
      <c r="R91" s="123"/>
      <c r="T91" s="124"/>
      <c r="V91" s="122"/>
      <c r="W91" s="125"/>
      <c r="Y91" s="122"/>
      <c r="Z91" s="125"/>
    </row>
    <row r="92" spans="2:26" s="75" customFormat="1" x14ac:dyDescent="0.25">
      <c r="B92" s="121"/>
      <c r="D92" s="72"/>
      <c r="J92" s="122"/>
      <c r="R92" s="123"/>
      <c r="T92" s="124"/>
      <c r="V92" s="122"/>
      <c r="W92" s="125"/>
      <c r="Y92" s="122"/>
      <c r="Z92" s="125"/>
    </row>
    <row r="93" spans="2:26" s="75" customFormat="1" x14ac:dyDescent="0.25">
      <c r="B93" s="121"/>
      <c r="D93" s="72"/>
      <c r="J93" s="122"/>
      <c r="R93" s="123"/>
      <c r="T93" s="124"/>
      <c r="V93" s="122"/>
      <c r="W93" s="125"/>
      <c r="Y93" s="122"/>
      <c r="Z93" s="125"/>
    </row>
    <row r="94" spans="2:26" s="75" customFormat="1" x14ac:dyDescent="0.25">
      <c r="B94" s="121"/>
      <c r="D94" s="72"/>
      <c r="J94" s="122"/>
      <c r="R94" s="123"/>
      <c r="T94" s="124"/>
      <c r="V94" s="122"/>
      <c r="W94" s="125"/>
      <c r="Y94" s="122"/>
      <c r="Z94" s="125"/>
    </row>
    <row r="95" spans="2:26" s="75" customFormat="1" x14ac:dyDescent="0.25">
      <c r="B95" s="121"/>
      <c r="D95" s="72"/>
      <c r="J95" s="122"/>
      <c r="R95" s="123"/>
      <c r="T95" s="124"/>
      <c r="V95" s="122"/>
      <c r="W95" s="125"/>
      <c r="Y95" s="122"/>
      <c r="Z95" s="125"/>
    </row>
    <row r="96" spans="2:26" s="75" customFormat="1" x14ac:dyDescent="0.25">
      <c r="B96" s="121"/>
      <c r="D96" s="72"/>
      <c r="J96" s="122"/>
      <c r="R96" s="123"/>
      <c r="T96" s="124"/>
      <c r="V96" s="122"/>
      <c r="W96" s="125"/>
      <c r="Y96" s="122"/>
      <c r="Z96" s="125"/>
    </row>
    <row r="97" spans="2:26" s="75" customFormat="1" x14ac:dyDescent="0.25">
      <c r="B97" s="121"/>
      <c r="D97" s="72"/>
      <c r="J97" s="122"/>
      <c r="R97" s="123"/>
      <c r="T97" s="124"/>
      <c r="V97" s="122"/>
      <c r="W97" s="125"/>
      <c r="Y97" s="122"/>
      <c r="Z97" s="125"/>
    </row>
    <row r="98" spans="2:26" s="75" customFormat="1" x14ac:dyDescent="0.25">
      <c r="B98" s="121"/>
      <c r="D98" s="72"/>
      <c r="J98" s="122"/>
      <c r="R98" s="123"/>
      <c r="T98" s="124"/>
      <c r="V98" s="122"/>
      <c r="W98" s="125"/>
      <c r="Y98" s="122"/>
      <c r="Z98" s="125"/>
    </row>
    <row r="99" spans="2:26" s="75" customFormat="1" x14ac:dyDescent="0.25">
      <c r="B99" s="121"/>
      <c r="D99" s="72"/>
      <c r="J99" s="122"/>
      <c r="R99" s="123"/>
      <c r="T99" s="124"/>
      <c r="V99" s="122"/>
      <c r="W99" s="125"/>
      <c r="Y99" s="122"/>
      <c r="Z99" s="125"/>
    </row>
    <row r="100" spans="2:26" s="75" customFormat="1" x14ac:dyDescent="0.25">
      <c r="B100" s="121"/>
      <c r="D100" s="72"/>
      <c r="J100" s="122"/>
      <c r="R100" s="123"/>
      <c r="T100" s="124"/>
      <c r="V100" s="122"/>
      <c r="W100" s="125"/>
      <c r="Y100" s="122"/>
      <c r="Z100" s="125"/>
    </row>
    <row r="101" spans="2:26" s="75" customFormat="1" x14ac:dyDescent="0.25">
      <c r="B101" s="121"/>
      <c r="D101" s="72"/>
      <c r="J101" s="122"/>
      <c r="R101" s="123"/>
      <c r="T101" s="124"/>
      <c r="V101" s="122"/>
      <c r="W101" s="125"/>
      <c r="Y101" s="122"/>
      <c r="Z101" s="125"/>
    </row>
    <row r="102" spans="2:26" s="75" customFormat="1" x14ac:dyDescent="0.25">
      <c r="B102" s="121"/>
      <c r="D102" s="72"/>
      <c r="J102" s="122"/>
      <c r="R102" s="123"/>
      <c r="T102" s="124"/>
      <c r="V102" s="122"/>
      <c r="W102" s="125"/>
      <c r="Y102" s="122"/>
      <c r="Z102" s="125"/>
    </row>
    <row r="103" spans="2:26" s="75" customFormat="1" x14ac:dyDescent="0.25">
      <c r="B103" s="121"/>
      <c r="D103" s="72"/>
      <c r="J103" s="122"/>
      <c r="R103" s="123"/>
      <c r="T103" s="124"/>
      <c r="V103" s="122"/>
      <c r="W103" s="125"/>
      <c r="Y103" s="122"/>
      <c r="Z103" s="125"/>
    </row>
    <row r="104" spans="2:26" s="75" customFormat="1" x14ac:dyDescent="0.25">
      <c r="B104" s="121"/>
      <c r="D104" s="72"/>
      <c r="J104" s="122"/>
      <c r="R104" s="123"/>
      <c r="T104" s="124"/>
      <c r="V104" s="122"/>
      <c r="W104" s="125"/>
      <c r="Y104" s="122"/>
      <c r="Z104" s="125"/>
    </row>
    <row r="105" spans="2:26" s="75" customFormat="1" x14ac:dyDescent="0.25">
      <c r="B105" s="121"/>
      <c r="D105" s="72"/>
      <c r="J105" s="122"/>
      <c r="R105" s="123"/>
      <c r="T105" s="124"/>
      <c r="V105" s="122"/>
      <c r="W105" s="125"/>
      <c r="Y105" s="122"/>
      <c r="Z105" s="125"/>
    </row>
    <row r="106" spans="2:26" s="75" customFormat="1" x14ac:dyDescent="0.25">
      <c r="B106" s="121"/>
      <c r="D106" s="72"/>
      <c r="J106" s="122"/>
      <c r="R106" s="123"/>
      <c r="T106" s="124"/>
      <c r="V106" s="122"/>
      <c r="W106" s="125"/>
      <c r="Y106" s="122"/>
      <c r="Z106" s="125"/>
    </row>
  </sheetData>
  <mergeCells count="88">
    <mergeCell ref="H19:L19"/>
    <mergeCell ref="H20:L20"/>
    <mergeCell ref="E25:F25"/>
    <mergeCell ref="E17:F17"/>
    <mergeCell ref="E18:F18"/>
    <mergeCell ref="E21:F21"/>
    <mergeCell ref="E24:F24"/>
    <mergeCell ref="E19:F19"/>
    <mergeCell ref="E20:F20"/>
    <mergeCell ref="H21:L21"/>
    <mergeCell ref="H22:L22"/>
    <mergeCell ref="H17:L17"/>
    <mergeCell ref="H18:L18"/>
    <mergeCell ref="O1:R1"/>
    <mergeCell ref="A8:D8"/>
    <mergeCell ref="A9:D9"/>
    <mergeCell ref="A4:F4"/>
    <mergeCell ref="E7:F7"/>
    <mergeCell ref="A3:F3"/>
    <mergeCell ref="A7:D7"/>
    <mergeCell ref="A5:D5"/>
    <mergeCell ref="A6:D6"/>
    <mergeCell ref="E8:F8"/>
    <mergeCell ref="E9:F9"/>
    <mergeCell ref="H3:M3"/>
    <mergeCell ref="A1:M1"/>
    <mergeCell ref="E10:F10"/>
    <mergeCell ref="E5:F5"/>
    <mergeCell ref="E6:F6"/>
    <mergeCell ref="A21:D21"/>
    <mergeCell ref="A22:D22"/>
    <mergeCell ref="A20:D20"/>
    <mergeCell ref="E11:F11"/>
    <mergeCell ref="E16:F16"/>
    <mergeCell ref="E12:F12"/>
    <mergeCell ref="E13:F13"/>
    <mergeCell ref="E14:F14"/>
    <mergeCell ref="E15:F15"/>
    <mergeCell ref="E22:F22"/>
    <mergeCell ref="L42:Z42"/>
    <mergeCell ref="H27:L27"/>
    <mergeCell ref="G36:H36"/>
    <mergeCell ref="H23:L23"/>
    <mergeCell ref="H24:L24"/>
    <mergeCell ref="H25:L25"/>
    <mergeCell ref="L35:Z35"/>
    <mergeCell ref="C35:K35"/>
    <mergeCell ref="E26:F26"/>
    <mergeCell ref="G37:H37"/>
    <mergeCell ref="G38:H38"/>
    <mergeCell ref="E28:F28"/>
    <mergeCell ref="E23:F23"/>
    <mergeCell ref="A33:Z33"/>
    <mergeCell ref="E30:F30"/>
    <mergeCell ref="A30:D30"/>
    <mergeCell ref="L49:Z49"/>
    <mergeCell ref="H4:L4"/>
    <mergeCell ref="H5:L5"/>
    <mergeCell ref="H6:L6"/>
    <mergeCell ref="H7:L7"/>
    <mergeCell ref="H8:L8"/>
    <mergeCell ref="H9:L9"/>
    <mergeCell ref="H10:L10"/>
    <mergeCell ref="H11:L11"/>
    <mergeCell ref="H12:L12"/>
    <mergeCell ref="H13:L13"/>
    <mergeCell ref="H14:L14"/>
    <mergeCell ref="H15:L15"/>
    <mergeCell ref="H16:L16"/>
    <mergeCell ref="C49:K49"/>
    <mergeCell ref="H26:L26"/>
    <mergeCell ref="E27:F27"/>
    <mergeCell ref="A23:D23"/>
    <mergeCell ref="E29:F29"/>
    <mergeCell ref="G39:H39"/>
    <mergeCell ref="G40:H40"/>
    <mergeCell ref="G41:H41"/>
    <mergeCell ref="G43:H43"/>
    <mergeCell ref="G44:H44"/>
    <mergeCell ref="C42:K42"/>
    <mergeCell ref="G52:H52"/>
    <mergeCell ref="G53:H53"/>
    <mergeCell ref="G54:H54"/>
    <mergeCell ref="G45:H45"/>
    <mergeCell ref="G46:H46"/>
    <mergeCell ref="G47:H47"/>
    <mergeCell ref="G50:H50"/>
    <mergeCell ref="G51:H51"/>
  </mergeCells>
  <dataValidations count="6">
    <dataValidation type="list" allowBlank="1" showInputMessage="1" showErrorMessage="1" prompt="Chose 1 of 3 options; this sets performance funding pool and determines unadjusted impact on success rates." sqref="E11:F11" xr:uid="{F9CDD3B9-063A-4A54-A450-6DAD8FA45BFA}">
      <formula1>$B$11:$D$11</formula1>
    </dataValidation>
    <dataValidation type="list" errorStyle="warning" allowBlank="1" showInputMessage="1" showErrorMessage="1" prompt="Choose 1 of 3 options; this determines adjusted impact for at-risk students." sqref="E16:F16" xr:uid="{881ACA0C-4345-4B36-B5F7-F2FC4AD0BED3}">
      <formula1>$B$16:$D$16</formula1>
    </dataValidation>
    <dataValidation type="list" allowBlank="1" showInputMessage="1" showErrorMessage="1" prompt="Yes means performance cannot exceed pool." sqref="E22:F22" xr:uid="{BE01FE11-F325-4B98-88F1-48371E1B7DD6}">
      <formula1>"Yes,No"</formula1>
    </dataValidation>
    <dataValidation allowBlank="1" showInputMessage="1" showErrorMessage="1" prompt="100% means all comes out of enrollment funding; 0% means all comes on top of enrollment." sqref="E21:F21" xr:uid="{71530BAC-A7DF-41BE-9D54-16121204C505}"/>
    <dataValidation allowBlank="1" showInputMessage="1" showErrorMessage="1" prompt="Set funding per course success." sqref="E25:F25" xr:uid="{44DE8029-0E79-40F1-B52C-4C2F965F57FC}"/>
    <dataValidation allowBlank="1" showInputMessage="1" showErrorMessage="1" prompt="1 means funding based on entire course; more than 1 means funding based on success on sub-course units." sqref="E26:F26" xr:uid="{4C6ACD15-286C-4781-8931-6271DB94AA38}"/>
  </dataValidations>
  <pageMargins left="0.7" right="0.7" top="0.75" bottom="0.75" header="0.3" footer="0.3"/>
  <pageSetup scale="52"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43249-207E-4001-9C3E-EEE89C7EA9B7}">
  <dimension ref="A1:D7"/>
  <sheetViews>
    <sheetView workbookViewId="0">
      <selection activeCell="H16" sqref="H16"/>
    </sheetView>
  </sheetViews>
  <sheetFormatPr defaultRowHeight="15" x14ac:dyDescent="0.25"/>
  <sheetData>
    <row r="1" spans="1:4" x14ac:dyDescent="0.25">
      <c r="A1" s="262" t="s">
        <v>74</v>
      </c>
      <c r="B1" s="262"/>
      <c r="C1" s="262"/>
      <c r="D1" s="262"/>
    </row>
    <row r="2" spans="1:4" x14ac:dyDescent="0.25">
      <c r="A2" s="263" t="s">
        <v>50</v>
      </c>
      <c r="B2" s="263"/>
      <c r="C2" s="264">
        <v>2847829.52</v>
      </c>
      <c r="D2" s="264"/>
    </row>
    <row r="3" spans="1:4" x14ac:dyDescent="0.25">
      <c r="A3" s="260" t="s">
        <v>51</v>
      </c>
      <c r="B3" s="261"/>
      <c r="C3" s="265">
        <v>13036844819</v>
      </c>
      <c r="D3" s="266"/>
    </row>
    <row r="4" spans="1:4" x14ac:dyDescent="0.25">
      <c r="A4" s="260" t="s">
        <v>52</v>
      </c>
      <c r="B4" s="261"/>
      <c r="C4" s="265">
        <v>3110424650</v>
      </c>
      <c r="D4" s="266"/>
    </row>
    <row r="5" spans="1:4" x14ac:dyDescent="0.25">
      <c r="A5" s="260" t="s">
        <v>0</v>
      </c>
      <c r="B5" s="261"/>
      <c r="C5" s="265">
        <f>C3+C4</f>
        <v>16147269469</v>
      </c>
      <c r="D5" s="266"/>
    </row>
    <row r="6" spans="1:4" x14ac:dyDescent="0.25">
      <c r="A6" s="133" t="s">
        <v>53</v>
      </c>
      <c r="B6" s="133"/>
      <c r="C6" s="256">
        <f>C5/C2</f>
        <v>5670.0267188044318</v>
      </c>
      <c r="D6" s="257"/>
    </row>
    <row r="7" spans="1:4" x14ac:dyDescent="0.25">
      <c r="A7" s="126" t="s">
        <v>72</v>
      </c>
      <c r="B7" s="126"/>
      <c r="C7" s="258">
        <f>C6/6</f>
        <v>945.00445313407192</v>
      </c>
      <c r="D7" s="259"/>
    </row>
  </sheetData>
  <mergeCells count="11">
    <mergeCell ref="C6:D6"/>
    <mergeCell ref="C7:D7"/>
    <mergeCell ref="A3:B3"/>
    <mergeCell ref="A4:B4"/>
    <mergeCell ref="A1:D1"/>
    <mergeCell ref="A2:B2"/>
    <mergeCell ref="C2:D2"/>
    <mergeCell ref="C3:D3"/>
    <mergeCell ref="C4:D4"/>
    <mergeCell ref="A5:B5"/>
    <mergeCell ref="C5:D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Explanations</vt:lpstr>
      <vt:lpstr>Modeling</vt:lpstr>
      <vt:lpstr>Current Funding</vt:lpstr>
      <vt:lpstr>Modeling!Print_Area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Joseph (matthewj@excelined.org)</dc:creator>
  <cp:lastModifiedBy>Clare Crowson (Clare@excelined.org)</cp:lastModifiedBy>
  <cp:lastPrinted>2018-07-24T13:36:52Z</cp:lastPrinted>
  <dcterms:created xsi:type="dcterms:W3CDTF">2017-09-07T17:05:05Z</dcterms:created>
  <dcterms:modified xsi:type="dcterms:W3CDTF">2018-08-01T20:55:03Z</dcterms:modified>
</cp:coreProperties>
</file>