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excelined-my.sharepoint.com/personal/matthewj_excelined_org/Documents/"/>
    </mc:Choice>
  </mc:AlternateContent>
  <xr:revisionPtr revIDLastSave="0" documentId="8_{57559D9C-AFF6-481B-8692-C2C8EDA5E7E4}" xr6:coauthVersionLast="47" xr6:coauthVersionMax="47" xr10:uidLastSave="{00000000-0000-0000-0000-000000000000}"/>
  <bookViews>
    <workbookView xWindow="-110" yWindow="-110" windowWidth="19420" windowHeight="10300" firstSheet="1" activeTab="1" xr2:uid="{BBC3D348-4509-489A-ACAF-6AE49C782B38}"/>
  </bookViews>
  <sheets>
    <sheet name="Overview &amp; Sources" sheetId="19" r:id="rId1"/>
    <sheet name="Facility Index Tool" sheetId="16" r:id="rId2"/>
    <sheet name="Data Details" sheetId="12" state="hidden" r:id="rId3"/>
    <sheet name="Alt Chart" sheetId="15" state="hidden" r:id="rId4"/>
    <sheet name="Chart" sheetId="8" state="hidden" r:id="rId5"/>
    <sheet name="Ohio Figures" sheetId="6" state="hidden" r:id="rId6"/>
    <sheet name="Indiana Audits" sheetId="14" state="hidden" r:id="rId7"/>
    <sheet name="Analysis" sheetId="3" state="hidden" r:id="rId8"/>
    <sheet name="Funding Tool Inputs_Outputs (2)" sheetId="17" state="hidden" r:id="rId9"/>
  </sheets>
  <definedNames>
    <definedName name="_xlnm.Print_Area" localSheetId="1">'Facility Index Tool'!$A$1:$Q$64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16" l="1"/>
  <c r="D54" i="6"/>
  <c r="D53" i="6"/>
  <c r="G9" i="16"/>
  <c r="D7" i="16"/>
  <c r="B51" i="6"/>
  <c r="G28" i="16"/>
  <c r="G29" i="16"/>
  <c r="G30" i="16"/>
  <c r="G26" i="16"/>
  <c r="G27" i="16"/>
  <c r="I35" i="12"/>
  <c r="Z47" i="3"/>
  <c r="D56" i="12" l="1"/>
  <c r="D55" i="12"/>
  <c r="J16" i="6"/>
  <c r="K17" i="6"/>
  <c r="F17" i="6"/>
  <c r="BP17" i="6"/>
  <c r="BO17" i="6"/>
  <c r="BK17" i="6"/>
  <c r="BB17" i="6"/>
  <c r="AZ17" i="6"/>
  <c r="AY17" i="6"/>
  <c r="AV17" i="6"/>
  <c r="BC17" i="6" s="1"/>
  <c r="AR17" i="6"/>
  <c r="AX17" i="6" s="1"/>
  <c r="AQ17" i="6"/>
  <c r="AK17" i="6"/>
  <c r="AJ17" i="6"/>
  <c r="AF17" i="6"/>
  <c r="Z17" i="6"/>
  <c r="AE17" i="6" s="1"/>
  <c r="S17" i="6"/>
  <c r="Y17" i="6" s="1"/>
  <c r="Q17" i="6"/>
  <c r="AC17" i="6" s="1"/>
  <c r="P17" i="6"/>
  <c r="I17" i="6"/>
  <c r="H17" i="6"/>
  <c r="G17" i="6"/>
  <c r="I5" i="12"/>
  <c r="B50" i="6"/>
  <c r="T17" i="6" l="1"/>
  <c r="U17" i="6"/>
  <c r="BA17" i="6"/>
  <c r="AB17" i="6"/>
  <c r="AW17" i="6"/>
  <c r="I100" i="12"/>
  <c r="I89" i="12"/>
  <c r="D143" i="12"/>
  <c r="I136" i="12"/>
  <c r="I137" i="12" s="1"/>
  <c r="F136" i="12"/>
  <c r="F137" i="12" s="1"/>
  <c r="D136" i="12"/>
  <c r="D137" i="12" s="1"/>
  <c r="K135" i="12"/>
  <c r="K136" i="12" s="1"/>
  <c r="E135" i="12"/>
  <c r="E136" i="12" s="1"/>
  <c r="E137" i="12" s="1"/>
  <c r="I128" i="12"/>
  <c r="I129" i="12" s="1"/>
  <c r="D128" i="12"/>
  <c r="D129" i="12" s="1"/>
  <c r="K127" i="12"/>
  <c r="K128" i="12" s="1"/>
  <c r="E127" i="12"/>
  <c r="E128" i="12" s="1"/>
  <c r="F100" i="12"/>
  <c r="K137" i="12" l="1"/>
  <c r="K138" i="12" s="1"/>
  <c r="K129" i="12"/>
  <c r="K130" i="12" s="1"/>
  <c r="D130" i="12"/>
  <c r="D138" i="12"/>
  <c r="F138" i="12"/>
  <c r="E138" i="12"/>
  <c r="I130" i="12"/>
  <c r="I138" i="12"/>
  <c r="E129" i="12"/>
  <c r="E130" i="12" s="1"/>
  <c r="I30" i="16" l="1"/>
  <c r="F25" i="16"/>
  <c r="D38" i="6" l="1"/>
  <c r="C38" i="6"/>
  <c r="BB15" i="6"/>
  <c r="AZ15" i="6"/>
  <c r="BB19" i="6"/>
  <c r="BB20" i="6"/>
  <c r="BB21" i="6"/>
  <c r="BB23" i="6"/>
  <c r="BB24" i="6"/>
  <c r="BB25" i="6"/>
  <c r="BB26" i="6"/>
  <c r="BB27" i="6"/>
  <c r="BB28" i="6"/>
  <c r="BB30" i="6"/>
  <c r="BB31" i="6"/>
  <c r="BB32" i="6"/>
  <c r="BB33" i="6"/>
  <c r="BB34" i="6"/>
  <c r="BB35" i="6"/>
  <c r="BB36" i="6"/>
  <c r="BB37" i="6"/>
  <c r="BB38" i="6"/>
  <c r="BB39" i="6"/>
  <c r="BB16" i="6"/>
  <c r="BB6" i="6"/>
  <c r="BB7" i="6"/>
  <c r="BB8" i="6"/>
  <c r="BB9" i="6"/>
  <c r="BB10" i="6"/>
  <c r="BB11" i="6"/>
  <c r="BB12" i="6"/>
  <c r="BB13" i="6"/>
  <c r="BB14" i="6"/>
  <c r="BB5" i="6"/>
  <c r="AZ19" i="6"/>
  <c r="AZ20" i="6"/>
  <c r="AZ21" i="6"/>
  <c r="AZ23" i="6"/>
  <c r="AZ24" i="6"/>
  <c r="AZ26" i="6"/>
  <c r="AZ27" i="6"/>
  <c r="AZ28" i="6"/>
  <c r="AZ30" i="6"/>
  <c r="AZ33" i="6"/>
  <c r="AZ34" i="6"/>
  <c r="AZ35" i="6"/>
  <c r="AZ36" i="6"/>
  <c r="AZ37" i="6"/>
  <c r="AZ38" i="6"/>
  <c r="AZ39" i="6"/>
  <c r="AZ16" i="6"/>
  <c r="AZ6" i="6"/>
  <c r="AZ7" i="6"/>
  <c r="AZ8" i="6"/>
  <c r="AZ9" i="6"/>
  <c r="AZ10" i="6"/>
  <c r="AZ11" i="6"/>
  <c r="AZ12" i="6"/>
  <c r="AZ13" i="6"/>
  <c r="AZ14" i="6"/>
  <c r="AZ5" i="6"/>
  <c r="E8" i="6"/>
  <c r="E38" i="6" l="1"/>
  <c r="D23" i="12" s="1"/>
  <c r="F8" i="6"/>
  <c r="G8" i="6" l="1"/>
  <c r="E162" i="12" l="1"/>
  <c r="J25" i="6"/>
  <c r="C25" i="6"/>
  <c r="F36" i="6" l="1"/>
  <c r="G36" i="6"/>
  <c r="H36" i="6"/>
  <c r="I36" i="6"/>
  <c r="J36" i="6"/>
  <c r="K35" i="6"/>
  <c r="K34" i="6"/>
  <c r="K33" i="6"/>
  <c r="K36" i="6" l="1"/>
  <c r="B46" i="6"/>
  <c r="AO32" i="6" l="1"/>
  <c r="AZ32" i="6" l="1"/>
  <c r="AS22" i="6"/>
  <c r="AS41" i="6" s="1"/>
  <c r="AP22" i="6"/>
  <c r="AO22" i="6"/>
  <c r="AN22" i="6"/>
  <c r="AM22" i="6"/>
  <c r="AL22" i="6"/>
  <c r="BB22" i="6" l="1"/>
  <c r="AZ22" i="6"/>
  <c r="AV6" i="6"/>
  <c r="AV7" i="6"/>
  <c r="AV8" i="6"/>
  <c r="AV9" i="6"/>
  <c r="AV10" i="6"/>
  <c r="AV11" i="6"/>
  <c r="AV12" i="6"/>
  <c r="AV13" i="6"/>
  <c r="AV14" i="6"/>
  <c r="AV15" i="6"/>
  <c r="AV16" i="6"/>
  <c r="AV19" i="6"/>
  <c r="AV20" i="6"/>
  <c r="AV21" i="6"/>
  <c r="AV23" i="6"/>
  <c r="AV24" i="6"/>
  <c r="AV26" i="6"/>
  <c r="AV27" i="6"/>
  <c r="AV28" i="6"/>
  <c r="AV30" i="6"/>
  <c r="AV33" i="6"/>
  <c r="AV34" i="6"/>
  <c r="AV35" i="6"/>
  <c r="AV36" i="6"/>
  <c r="AV37" i="6"/>
  <c r="AV38" i="6"/>
  <c r="AV39" i="6"/>
  <c r="AV5" i="6"/>
  <c r="AU47" i="6"/>
  <c r="AU25" i="6"/>
  <c r="AU22" i="6"/>
  <c r="AV22" i="6" s="1"/>
  <c r="BC22" i="6" s="1"/>
  <c r="AN43" i="6"/>
  <c r="AN41" i="6"/>
  <c r="AM29" i="6"/>
  <c r="BA22" i="6" l="1"/>
  <c r="BC5" i="6"/>
  <c r="BA5" i="6"/>
  <c r="BC19" i="6"/>
  <c r="BA19" i="6"/>
  <c r="BC39" i="6"/>
  <c r="BA39" i="6"/>
  <c r="BC16" i="6"/>
  <c r="BA16" i="6"/>
  <c r="BC38" i="6"/>
  <c r="BA38" i="6"/>
  <c r="BC7" i="6"/>
  <c r="BA7" i="6"/>
  <c r="BC37" i="6"/>
  <c r="BA37" i="6"/>
  <c r="BC26" i="6"/>
  <c r="BA26" i="6"/>
  <c r="BC14" i="6"/>
  <c r="BA14" i="6"/>
  <c r="BC6" i="6"/>
  <c r="BA6" i="6"/>
  <c r="BC13" i="6"/>
  <c r="BA13" i="6"/>
  <c r="BC35" i="6"/>
  <c r="BA35" i="6"/>
  <c r="BC9" i="6"/>
  <c r="BA9" i="6"/>
  <c r="AM41" i="6"/>
  <c r="BB29" i="6"/>
  <c r="BA15" i="6"/>
  <c r="BC15" i="6"/>
  <c r="BA24" i="6"/>
  <c r="BC24" i="6"/>
  <c r="BC21" i="6"/>
  <c r="BA21" i="6"/>
  <c r="BA30" i="6"/>
  <c r="BC30" i="6"/>
  <c r="BC28" i="6"/>
  <c r="BA28" i="6"/>
  <c r="BA8" i="6"/>
  <c r="BC8" i="6"/>
  <c r="BC27" i="6"/>
  <c r="BA27" i="6"/>
  <c r="BC36" i="6"/>
  <c r="BA36" i="6"/>
  <c r="BA23" i="6"/>
  <c r="BC23" i="6"/>
  <c r="BA12" i="6"/>
  <c r="BC12" i="6"/>
  <c r="BC34" i="6"/>
  <c r="BA34" i="6"/>
  <c r="BC11" i="6"/>
  <c r="BA11" i="6"/>
  <c r="BC33" i="6"/>
  <c r="BA33" i="6"/>
  <c r="BC20" i="6"/>
  <c r="BA20" i="6"/>
  <c r="BC10" i="6"/>
  <c r="BA10" i="6"/>
  <c r="AM43" i="6"/>
  <c r="AU41" i="6"/>
  <c r="AV32" i="6"/>
  <c r="BC32" i="6" l="1"/>
  <c r="BA32" i="6"/>
  <c r="AP31" i="6"/>
  <c r="AO31" i="6"/>
  <c r="AZ31" i="6" l="1"/>
  <c r="AV31" i="6"/>
  <c r="BC31" i="6" s="1"/>
  <c r="AP29" i="6"/>
  <c r="AZ29" i="6" l="1"/>
  <c r="BA31" i="6"/>
  <c r="AV29" i="6"/>
  <c r="BC29" i="6" s="1"/>
  <c r="AP25" i="6"/>
  <c r="AO25" i="6"/>
  <c r="AZ25" i="6" l="1"/>
  <c r="BA29" i="6"/>
  <c r="AV25" i="6"/>
  <c r="BC25" i="6" s="1"/>
  <c r="AX70" i="6"/>
  <c r="AW70" i="6"/>
  <c r="AX69" i="6"/>
  <c r="AW69" i="6"/>
  <c r="AX68" i="6"/>
  <c r="AW68" i="6"/>
  <c r="AX67" i="6"/>
  <c r="AW67" i="6"/>
  <c r="AX66" i="6"/>
  <c r="AW66" i="6"/>
  <c r="AX65" i="6"/>
  <c r="AW65" i="6"/>
  <c r="AX60" i="6"/>
  <c r="AY60" i="6" s="1"/>
  <c r="AW60" i="6"/>
  <c r="AX59" i="6"/>
  <c r="AY59" i="6" s="1"/>
  <c r="AW59" i="6"/>
  <c r="AX58" i="6"/>
  <c r="AY58" i="6" s="1"/>
  <c r="AW58" i="6"/>
  <c r="AX57" i="6"/>
  <c r="AY57" i="6" s="1"/>
  <c r="AW57" i="6"/>
  <c r="AX56" i="6"/>
  <c r="AY56" i="6" s="1"/>
  <c r="AW56" i="6"/>
  <c r="AX55" i="6"/>
  <c r="AY55" i="6" s="1"/>
  <c r="AW55" i="6"/>
  <c r="AX54" i="6"/>
  <c r="AY54" i="6" s="1"/>
  <c r="AW54" i="6"/>
  <c r="AX53" i="6"/>
  <c r="AY53" i="6" s="1"/>
  <c r="AW53" i="6"/>
  <c r="AX52" i="6"/>
  <c r="AY52" i="6" s="1"/>
  <c r="AW52" i="6"/>
  <c r="AX51" i="6"/>
  <c r="AY51" i="6" s="1"/>
  <c r="AW51" i="6"/>
  <c r="AV47" i="6"/>
  <c r="AP43" i="6"/>
  <c r="AO43" i="6"/>
  <c r="AL43" i="6"/>
  <c r="AT41" i="6"/>
  <c r="AP41" i="6"/>
  <c r="AO41" i="6"/>
  <c r="AL41" i="6"/>
  <c r="AQ39" i="6"/>
  <c r="AQ38" i="6"/>
  <c r="AQ37" i="6"/>
  <c r="AQ36" i="6"/>
  <c r="AQ35" i="6"/>
  <c r="AQ34" i="6"/>
  <c r="AQ33" i="6"/>
  <c r="AV41" i="6"/>
  <c r="AQ32" i="6"/>
  <c r="AQ31" i="6"/>
  <c r="AQ30" i="6"/>
  <c r="AQ29" i="6"/>
  <c r="AQ28" i="6"/>
  <c r="AQ27" i="6"/>
  <c r="AQ26" i="6"/>
  <c r="AQ25" i="6"/>
  <c r="AR25" i="6" s="1"/>
  <c r="AQ24" i="6"/>
  <c r="AQ23" i="6"/>
  <c r="AQ22" i="6"/>
  <c r="AQ21" i="6"/>
  <c r="AQ20" i="6"/>
  <c r="AQ19" i="6"/>
  <c r="AQ16" i="6"/>
  <c r="AQ15" i="6"/>
  <c r="AR15" i="6" s="1"/>
  <c r="AW15" i="6" s="1"/>
  <c r="AQ14" i="6"/>
  <c r="AQ13" i="6"/>
  <c r="AQ12" i="6"/>
  <c r="AQ11" i="6"/>
  <c r="AQ10" i="6"/>
  <c r="AQ9" i="6"/>
  <c r="AQ8" i="6"/>
  <c r="AQ7" i="6"/>
  <c r="AQ6" i="6"/>
  <c r="AQ5" i="6"/>
  <c r="BA25" i="6" l="1"/>
  <c r="AR29" i="6"/>
  <c r="AR6" i="6"/>
  <c r="AR14" i="6"/>
  <c r="AW14" i="6" s="1"/>
  <c r="AR24" i="6"/>
  <c r="AW24" i="6" s="1"/>
  <c r="AR32" i="6"/>
  <c r="AX32" i="6" s="1"/>
  <c r="AR39" i="6"/>
  <c r="AR20" i="6"/>
  <c r="AW20" i="6" s="1"/>
  <c r="AR21" i="6"/>
  <c r="AR37" i="6"/>
  <c r="AR13" i="6"/>
  <c r="AR10" i="6"/>
  <c r="AR28" i="6"/>
  <c r="AW28" i="6" s="1"/>
  <c r="AR35" i="6"/>
  <c r="AW35" i="6" s="1"/>
  <c r="AR11" i="6"/>
  <c r="AR36" i="6"/>
  <c r="AX36" i="6" s="1"/>
  <c r="AR22" i="6"/>
  <c r="AR5" i="6"/>
  <c r="AR23" i="6"/>
  <c r="AR31" i="6"/>
  <c r="AW31" i="6" s="1"/>
  <c r="AR7" i="6"/>
  <c r="AW7" i="6" s="1"/>
  <c r="AR8" i="6"/>
  <c r="AX8" i="6" s="1"/>
  <c r="AR26" i="6"/>
  <c r="AR33" i="6"/>
  <c r="AX33" i="6" s="1"/>
  <c r="AR12" i="6"/>
  <c r="AZ42" i="6"/>
  <c r="AR30" i="6"/>
  <c r="AX30" i="6" s="1"/>
  <c r="AR38" i="6"/>
  <c r="AW38" i="6" s="1"/>
  <c r="AR16" i="6"/>
  <c r="AX16" i="6" s="1"/>
  <c r="AR9" i="6"/>
  <c r="AW9" i="6" s="1"/>
  <c r="AR19" i="6"/>
  <c r="AR27" i="6"/>
  <c r="AX27" i="6" s="1"/>
  <c r="AR34" i="6"/>
  <c r="AX37" i="6"/>
  <c r="AW37" i="6"/>
  <c r="AX34" i="6"/>
  <c r="AW34" i="6"/>
  <c r="AX31" i="6"/>
  <c r="AW29" i="6"/>
  <c r="AX29" i="6"/>
  <c r="AW25" i="6"/>
  <c r="AX25" i="6"/>
  <c r="AX22" i="6"/>
  <c r="AX13" i="6"/>
  <c r="AW21" i="6"/>
  <c r="AW23" i="6"/>
  <c r="AW5" i="6"/>
  <c r="AX6" i="6"/>
  <c r="AX15" i="6"/>
  <c r="AV42" i="6"/>
  <c r="D8" i="12" s="1"/>
  <c r="AW63" i="6"/>
  <c r="AQ41" i="6"/>
  <c r="AX63" i="6"/>
  <c r="AQ43" i="6"/>
  <c r="AW32" i="6" l="1"/>
  <c r="AW27" i="6"/>
  <c r="AX28" i="6"/>
  <c r="AX35" i="6"/>
  <c r="AW36" i="6"/>
  <c r="AX24" i="6"/>
  <c r="AW33" i="6"/>
  <c r="AX38" i="6"/>
  <c r="AW30" i="6"/>
  <c r="AX19" i="6"/>
  <c r="AX10" i="6"/>
  <c r="AX14" i="6"/>
  <c r="AW10" i="6"/>
  <c r="AW22" i="6"/>
  <c r="AX21" i="6"/>
  <c r="AW11" i="6"/>
  <c r="AX11" i="6"/>
  <c r="AW12" i="6"/>
  <c r="AX12" i="6"/>
  <c r="AX42" i="6" s="1"/>
  <c r="AX26" i="6"/>
  <c r="AW8" i="6"/>
  <c r="AW26" i="6"/>
  <c r="AX9" i="6"/>
  <c r="AX23" i="6"/>
  <c r="AW13" i="6"/>
  <c r="AW6" i="6"/>
  <c r="BA43" i="6" s="1"/>
  <c r="AW39" i="6"/>
  <c r="AZ41" i="6"/>
  <c r="AZ43" i="6"/>
  <c r="AX20" i="6"/>
  <c r="AX39" i="6"/>
  <c r="AX7" i="6"/>
  <c r="AW19" i="6"/>
  <c r="AW16" i="6"/>
  <c r="AW46" i="6" s="1"/>
  <c r="AX5" i="6"/>
  <c r="AX47" i="6" s="1"/>
  <c r="AR41" i="6"/>
  <c r="AX46" i="6"/>
  <c r="D17" i="12"/>
  <c r="D3" i="12"/>
  <c r="D34" i="12" s="1"/>
  <c r="D36" i="12" s="1"/>
  <c r="AW42" i="6" l="1"/>
  <c r="AX43" i="6"/>
  <c r="BA42" i="6"/>
  <c r="AW43" i="6"/>
  <c r="BB42" i="6"/>
  <c r="BC42" i="6"/>
  <c r="AX41" i="6"/>
  <c r="BA41" i="6"/>
  <c r="BA49" i="6" s="1"/>
  <c r="AW41" i="6"/>
  <c r="D12" i="12" s="1"/>
  <c r="AW47" i="6"/>
  <c r="BB41" i="6"/>
  <c r="BB43" i="6"/>
  <c r="BC43" i="6"/>
  <c r="BC41" i="6"/>
  <c r="K10" i="6"/>
  <c r="D94" i="12" l="1"/>
  <c r="I94" i="12"/>
  <c r="BC49" i="6"/>
  <c r="E143" i="12"/>
  <c r="E144" i="12" s="1"/>
  <c r="D144" i="12"/>
  <c r="G19" i="6"/>
  <c r="G20" i="6" s="1"/>
  <c r="G15" i="6"/>
  <c r="H15" i="6"/>
  <c r="I15" i="6"/>
  <c r="H9" i="6"/>
  <c r="I6" i="6"/>
  <c r="H6" i="6"/>
  <c r="D145" i="12" l="1"/>
  <c r="D146" i="12" s="1"/>
  <c r="E145" i="12"/>
  <c r="E146" i="12" s="1"/>
  <c r="J6" i="6"/>
  <c r="K7" i="6"/>
  <c r="H19" i="6"/>
  <c r="H20" i="6" l="1"/>
  <c r="I19" i="6"/>
  <c r="I9" i="6"/>
  <c r="J9" i="6"/>
  <c r="J19" i="6" l="1"/>
  <c r="J20" i="6" s="1"/>
  <c r="I20" i="6"/>
  <c r="F81" i="12" l="1"/>
  <c r="BN47" i="6"/>
  <c r="B45" i="6" l="1"/>
  <c r="BO11" i="6" l="1"/>
  <c r="BP11" i="6"/>
  <c r="AY11" i="6" s="1"/>
  <c r="BT6" i="6" l="1"/>
  <c r="BT7" i="6"/>
  <c r="BT8" i="6"/>
  <c r="BT9" i="6"/>
  <c r="BT10" i="6"/>
  <c r="BT11" i="6"/>
  <c r="BT12" i="6"/>
  <c r="BT13" i="6"/>
  <c r="BT14" i="6"/>
  <c r="BT16" i="6"/>
  <c r="BT20" i="6"/>
  <c r="BT21" i="6"/>
  <c r="BT22" i="6"/>
  <c r="BT23" i="6"/>
  <c r="BT24" i="6"/>
  <c r="BT25" i="6"/>
  <c r="BT26" i="6"/>
  <c r="BT27" i="6"/>
  <c r="BT28" i="6"/>
  <c r="BT29" i="6"/>
  <c r="BT30" i="6"/>
  <c r="BT31" i="6"/>
  <c r="BT33" i="6"/>
  <c r="BT34" i="6"/>
  <c r="BT35" i="6"/>
  <c r="BT36" i="6"/>
  <c r="BT37" i="6"/>
  <c r="BT38" i="6"/>
  <c r="BT39" i="6"/>
  <c r="BR6" i="6"/>
  <c r="BR7" i="6"/>
  <c r="BR8" i="6"/>
  <c r="BR9" i="6"/>
  <c r="BR10" i="6"/>
  <c r="BR11" i="6"/>
  <c r="BR12" i="6"/>
  <c r="BR13" i="6"/>
  <c r="BR14" i="6"/>
  <c r="BR16" i="6"/>
  <c r="BR19" i="6"/>
  <c r="BR20" i="6"/>
  <c r="BR21" i="6"/>
  <c r="BR22" i="6"/>
  <c r="BR23" i="6"/>
  <c r="BR24" i="6"/>
  <c r="BR25" i="6"/>
  <c r="BR26" i="6"/>
  <c r="BR27" i="6"/>
  <c r="BR28" i="6"/>
  <c r="BR29" i="6"/>
  <c r="BR30" i="6"/>
  <c r="BR31" i="6"/>
  <c r="BR33" i="6"/>
  <c r="BR34" i="6"/>
  <c r="BR35" i="6"/>
  <c r="BR36" i="6"/>
  <c r="BR37" i="6"/>
  <c r="BR38" i="6"/>
  <c r="BR39" i="6"/>
  <c r="BS6" i="6" l="1"/>
  <c r="BS7" i="6"/>
  <c r="BS8" i="6"/>
  <c r="BS9" i="6"/>
  <c r="BS10" i="6"/>
  <c r="BS11" i="6"/>
  <c r="BS12" i="6"/>
  <c r="BS13" i="6"/>
  <c r="BS14" i="6"/>
  <c r="BS16" i="6"/>
  <c r="BS20" i="6"/>
  <c r="BS21" i="6"/>
  <c r="BS22" i="6"/>
  <c r="BS23" i="6"/>
  <c r="BS24" i="6"/>
  <c r="BS25" i="6"/>
  <c r="BS26" i="6"/>
  <c r="BS27" i="6"/>
  <c r="BS28" i="6"/>
  <c r="BS29" i="6"/>
  <c r="BS30" i="6"/>
  <c r="BS31" i="6"/>
  <c r="BS32" i="6"/>
  <c r="BS33" i="6"/>
  <c r="BS34" i="6"/>
  <c r="BS35" i="6"/>
  <c r="BS36" i="6"/>
  <c r="BS37" i="6"/>
  <c r="BS38" i="6"/>
  <c r="BS39" i="6"/>
  <c r="BQ6" i="6"/>
  <c r="BQ7" i="6"/>
  <c r="BQ8" i="6"/>
  <c r="BQ9" i="6"/>
  <c r="BQ10" i="6"/>
  <c r="BQ11" i="6"/>
  <c r="BQ12" i="6"/>
  <c r="BQ13" i="6"/>
  <c r="BQ14" i="6"/>
  <c r="BQ16" i="6"/>
  <c r="BQ19" i="6"/>
  <c r="BQ20" i="6"/>
  <c r="BQ21" i="6"/>
  <c r="BQ22" i="6"/>
  <c r="BQ23" i="6"/>
  <c r="BQ24" i="6"/>
  <c r="BQ25" i="6"/>
  <c r="BQ26" i="6"/>
  <c r="BQ27" i="6"/>
  <c r="BQ28" i="6"/>
  <c r="BQ29" i="6"/>
  <c r="BQ30" i="6"/>
  <c r="BQ31" i="6"/>
  <c r="BQ32" i="6"/>
  <c r="BQ33" i="6"/>
  <c r="BQ34" i="6"/>
  <c r="BQ35" i="6"/>
  <c r="BQ36" i="6"/>
  <c r="BQ37" i="6"/>
  <c r="BQ38" i="6"/>
  <c r="BQ39" i="6"/>
  <c r="BT5" i="6"/>
  <c r="BR5" i="6"/>
  <c r="BR43" i="6" s="1"/>
  <c r="BS5" i="6"/>
  <c r="BQ5" i="6"/>
  <c r="BS42" i="6" l="1"/>
  <c r="BQ43" i="6"/>
  <c r="BI43" i="6"/>
  <c r="BI42" i="6"/>
  <c r="BH43" i="6"/>
  <c r="BG43" i="6"/>
  <c r="BF43" i="6"/>
  <c r="BF42" i="6"/>
  <c r="BI41" i="6"/>
  <c r="BH41" i="6"/>
  <c r="BG41" i="6"/>
  <c r="BK6" i="6"/>
  <c r="BK7" i="6"/>
  <c r="BK8" i="6"/>
  <c r="BK9" i="6"/>
  <c r="BK10" i="6"/>
  <c r="BK11" i="6"/>
  <c r="BK12" i="6"/>
  <c r="BK13" i="6"/>
  <c r="BK14" i="6"/>
  <c r="BK16" i="6"/>
  <c r="BK20" i="6"/>
  <c r="BK21" i="6"/>
  <c r="BK22" i="6"/>
  <c r="BK23" i="6"/>
  <c r="BK24" i="6"/>
  <c r="BK25" i="6"/>
  <c r="BK26" i="6"/>
  <c r="BK27" i="6"/>
  <c r="BK28" i="6"/>
  <c r="BK29" i="6"/>
  <c r="BK30" i="6"/>
  <c r="BK31" i="6"/>
  <c r="BK32" i="6"/>
  <c r="BK33" i="6"/>
  <c r="BK34" i="6"/>
  <c r="BK35" i="6"/>
  <c r="BK36" i="6"/>
  <c r="BK37" i="6"/>
  <c r="BK38" i="6"/>
  <c r="BK39" i="6"/>
  <c r="BK5" i="6"/>
  <c r="BK19" i="6" l="1"/>
  <c r="BK43" i="6" s="1"/>
  <c r="BJ41" i="6"/>
  <c r="BT19" i="6"/>
  <c r="BS19" i="6"/>
  <c r="D80" i="12"/>
  <c r="BP60" i="6"/>
  <c r="BO60" i="6"/>
  <c r="BS43" i="6" l="1"/>
  <c r="BS41" i="6"/>
  <c r="BT43" i="6"/>
  <c r="D117" i="12"/>
  <c r="I92" i="12"/>
  <c r="I143" i="12" s="1"/>
  <c r="F92" i="12"/>
  <c r="B42" i="6"/>
  <c r="B41" i="6"/>
  <c r="F143" i="12" l="1"/>
  <c r="F127" i="12"/>
  <c r="B48" i="6"/>
  <c r="F48" i="6" s="1"/>
  <c r="G48" i="6" s="1"/>
  <c r="H48" i="6" s="1"/>
  <c r="I48" i="6" s="1"/>
  <c r="J48" i="6" s="1"/>
  <c r="D22" i="12" s="1"/>
  <c r="D118" i="12"/>
  <c r="E117" i="12"/>
  <c r="E118" i="12" s="1"/>
  <c r="BP67" i="6"/>
  <c r="BO67" i="6"/>
  <c r="E119" i="12" l="1"/>
  <c r="E120" i="12" s="1"/>
  <c r="BP68" i="6"/>
  <c r="BO68" i="6"/>
  <c r="F9" i="16"/>
  <c r="BO55" i="6"/>
  <c r="BP55" i="6"/>
  <c r="D24" i="12" l="1"/>
  <c r="D26" i="12" s="1"/>
  <c r="B39" i="6"/>
  <c r="F72" i="12"/>
  <c r="F73" i="12"/>
  <c r="B38" i="6"/>
  <c r="D9" i="16" s="1"/>
  <c r="BP28" i="6" l="1"/>
  <c r="AY28" i="6" s="1"/>
  <c r="BO28" i="6"/>
  <c r="BP26" i="6" l="1"/>
  <c r="AY26" i="6" s="1"/>
  <c r="BO26" i="6"/>
  <c r="BP24" i="6" l="1"/>
  <c r="AY24" i="6" s="1"/>
  <c r="BO24" i="6"/>
  <c r="BU41" i="6" l="1"/>
  <c r="BM41" i="6"/>
  <c r="AK28" i="6" l="1"/>
  <c r="AJ28" i="6"/>
  <c r="AF28" i="6"/>
  <c r="AE28" i="6"/>
  <c r="AB28" i="6"/>
  <c r="Y28" i="6"/>
  <c r="Q28" i="6"/>
  <c r="U28" i="6" s="1"/>
  <c r="AK26" i="6"/>
  <c r="AJ26" i="6"/>
  <c r="AF26" i="6"/>
  <c r="AE26" i="6"/>
  <c r="AB26" i="6"/>
  <c r="Y26" i="6"/>
  <c r="Q26" i="6"/>
  <c r="T26" i="6" s="1"/>
  <c r="AK24" i="6"/>
  <c r="AJ24" i="6"/>
  <c r="AF24" i="6"/>
  <c r="AE24" i="6"/>
  <c r="AB24" i="6"/>
  <c r="Y24" i="6"/>
  <c r="Q24" i="6"/>
  <c r="U24" i="6" s="1"/>
  <c r="BP20" i="6"/>
  <c r="AY20" i="6" s="1"/>
  <c r="BO20" i="6"/>
  <c r="AK20" i="6"/>
  <c r="AJ20" i="6"/>
  <c r="AF20" i="6"/>
  <c r="AE20" i="6"/>
  <c r="AB20" i="6"/>
  <c r="Y20" i="6"/>
  <c r="Q20" i="6"/>
  <c r="AC20" i="6" s="1"/>
  <c r="BP16" i="6"/>
  <c r="AY16" i="6" s="1"/>
  <c r="BO16" i="6"/>
  <c r="AK16" i="6"/>
  <c r="AJ16" i="6"/>
  <c r="AF16" i="6"/>
  <c r="AE16" i="6"/>
  <c r="AB16" i="6"/>
  <c r="Y16" i="6"/>
  <c r="Q16" i="6"/>
  <c r="U16" i="6" s="1"/>
  <c r="BP13" i="6"/>
  <c r="AY13" i="6" s="1"/>
  <c r="BO13" i="6"/>
  <c r="AK13" i="6"/>
  <c r="AJ13" i="6"/>
  <c r="AF13" i="6"/>
  <c r="AE13" i="6"/>
  <c r="AB13" i="6"/>
  <c r="Y13" i="6"/>
  <c r="Q13" i="6"/>
  <c r="U13" i="6" s="1"/>
  <c r="AK11" i="6"/>
  <c r="AJ11" i="6"/>
  <c r="AF11" i="6"/>
  <c r="AE11" i="6"/>
  <c r="AB11" i="6"/>
  <c r="Y11" i="6"/>
  <c r="Q11" i="6"/>
  <c r="U11" i="6" s="1"/>
  <c r="BP9" i="6"/>
  <c r="AY9" i="6" s="1"/>
  <c r="BO9" i="6"/>
  <c r="AK9" i="6"/>
  <c r="AJ9" i="6"/>
  <c r="AF9" i="6"/>
  <c r="AE9" i="6"/>
  <c r="AB9" i="6"/>
  <c r="Y9" i="6"/>
  <c r="Q9" i="6"/>
  <c r="U9" i="6" s="1"/>
  <c r="T28" i="6" l="1"/>
  <c r="AC28" i="6"/>
  <c r="AC26" i="6"/>
  <c r="U26" i="6"/>
  <c r="T24" i="6"/>
  <c r="AC24" i="6"/>
  <c r="T20" i="6"/>
  <c r="U20" i="6"/>
  <c r="T16" i="6"/>
  <c r="AC16" i="6"/>
  <c r="T13" i="6"/>
  <c r="AC13" i="6"/>
  <c r="T11" i="6"/>
  <c r="AC11" i="6"/>
  <c r="T9" i="6"/>
  <c r="AC9" i="6"/>
  <c r="BP5" i="6" l="1"/>
  <c r="AY5" i="6" s="1"/>
  <c r="BO5" i="6"/>
  <c r="AK5" i="6"/>
  <c r="AJ5" i="6"/>
  <c r="AF5" i="6"/>
  <c r="AE5" i="6"/>
  <c r="AB5" i="6"/>
  <c r="Y5" i="6"/>
  <c r="Q5" i="6"/>
  <c r="BP70" i="6"/>
  <c r="BO70" i="6"/>
  <c r="U5" i="6" l="1"/>
  <c r="T5" i="6"/>
  <c r="AC5" i="6"/>
  <c r="E30" i="6"/>
  <c r="B30" i="6"/>
  <c r="F15" i="6"/>
  <c r="K15" i="6" s="1"/>
  <c r="J14" i="6" s="1"/>
  <c r="G9" i="6"/>
  <c r="G6" i="6"/>
  <c r="F20" i="6"/>
  <c r="K20" i="6" s="1"/>
  <c r="E20" i="6"/>
  <c r="D20" i="6"/>
  <c r="C20" i="6"/>
  <c r="BP69" i="6"/>
  <c r="BO69" i="6"/>
  <c r="H31" i="6" l="1"/>
  <c r="E31" i="6"/>
  <c r="K31" i="6" s="1"/>
  <c r="I30" i="6" s="1"/>
  <c r="D27" i="12"/>
  <c r="BP66" i="6"/>
  <c r="BO66" i="6"/>
  <c r="J30" i="6" l="1"/>
  <c r="D54" i="12" s="1"/>
  <c r="F54" i="12" s="1"/>
  <c r="I54" i="12" s="1"/>
  <c r="AQ42" i="6"/>
  <c r="F22" i="12"/>
  <c r="F24" i="12"/>
  <c r="BX51" i="6"/>
  <c r="BP65" i="6"/>
  <c r="BO65" i="6"/>
  <c r="BP59" i="6"/>
  <c r="BO59" i="6"/>
  <c r="F26" i="12" l="1"/>
  <c r="I24" i="12"/>
  <c r="I26" i="12" s="1"/>
  <c r="BP58" i="6"/>
  <c r="BO58" i="6"/>
  <c r="BP57" i="6" l="1"/>
  <c r="BO57" i="6"/>
  <c r="BP56" i="6" l="1"/>
  <c r="BO56" i="6"/>
  <c r="BP54" i="6" l="1"/>
  <c r="BO54" i="6"/>
  <c r="AK54" i="6"/>
  <c r="AJ54" i="6"/>
  <c r="AF54" i="6"/>
  <c r="AE54" i="6"/>
  <c r="AB54" i="6"/>
  <c r="Y54" i="6"/>
  <c r="Q54" i="6"/>
  <c r="T54" i="6" s="1"/>
  <c r="BP53" i="6"/>
  <c r="BO53" i="6"/>
  <c r="AC54" i="6" l="1"/>
  <c r="U54" i="6"/>
  <c r="BP52" i="6"/>
  <c r="BO52" i="6"/>
  <c r="BP51" i="6" l="1"/>
  <c r="BP63" i="6" s="1"/>
  <c r="BO51" i="6"/>
  <c r="BO63" i="6" s="1"/>
  <c r="AK39" i="6" l="1"/>
  <c r="AJ39" i="6"/>
  <c r="BP39" i="6"/>
  <c r="AY39" i="6" s="1"/>
  <c r="BO39" i="6"/>
  <c r="BV39" i="6"/>
  <c r="AK38" i="6" l="1"/>
  <c r="AJ38" i="6"/>
  <c r="BP38" i="6"/>
  <c r="AY38" i="6" s="1"/>
  <c r="BO38" i="6"/>
  <c r="BP37" i="6" l="1"/>
  <c r="BO37" i="6"/>
  <c r="BO46" i="6" s="1"/>
  <c r="AK37" i="6"/>
  <c r="AJ37" i="6"/>
  <c r="BP46" i="6" l="1"/>
  <c r="AY46" i="6" s="1"/>
  <c r="AY37" i="6"/>
  <c r="BP36" i="6"/>
  <c r="AY36" i="6" s="1"/>
  <c r="BO36" i="6"/>
  <c r="AK36" i="6"/>
  <c r="AJ36" i="6"/>
  <c r="BV7" i="6"/>
  <c r="BV8" i="6"/>
  <c r="BV10" i="6"/>
  <c r="BV12" i="6"/>
  <c r="BV14" i="6"/>
  <c r="BV19" i="6"/>
  <c r="BV21" i="6"/>
  <c r="BV22" i="6"/>
  <c r="BV23" i="6"/>
  <c r="BV25" i="6"/>
  <c r="BV27" i="6"/>
  <c r="BV29" i="6"/>
  <c r="BV30" i="6"/>
  <c r="BV31" i="6"/>
  <c r="BV32" i="6"/>
  <c r="BV33" i="6"/>
  <c r="BV34" i="6"/>
  <c r="BV35" i="6"/>
  <c r="BV36" i="6"/>
  <c r="BV37" i="6"/>
  <c r="BV38" i="6"/>
  <c r="BV6" i="6"/>
  <c r="BP35" i="6" l="1"/>
  <c r="AY35" i="6" s="1"/>
  <c r="BO35" i="6"/>
  <c r="AK35" i="6"/>
  <c r="AJ35" i="6"/>
  <c r="BP34" i="6" l="1"/>
  <c r="AY34" i="6" s="1"/>
  <c r="BO34" i="6"/>
  <c r="AK34" i="6"/>
  <c r="AJ34" i="6"/>
  <c r="BP33" i="6" l="1"/>
  <c r="AY33" i="6" s="1"/>
  <c r="BO33" i="6"/>
  <c r="AK33" i="6"/>
  <c r="AJ33" i="6"/>
  <c r="BP30" i="6" l="1"/>
  <c r="AY30" i="6" s="1"/>
  <c r="BO30" i="6"/>
  <c r="AK30" i="6"/>
  <c r="AJ30" i="6"/>
  <c r="BP31" i="6" l="1"/>
  <c r="AY31" i="6" s="1"/>
  <c r="BO31" i="6"/>
  <c r="AK31" i="6"/>
  <c r="AJ31" i="6"/>
  <c r="BP29" i="6" l="1"/>
  <c r="AY29" i="6" s="1"/>
  <c r="BO29" i="6"/>
  <c r="AK29" i="6"/>
  <c r="AJ29" i="6"/>
  <c r="BP27" i="6" l="1"/>
  <c r="AY27" i="6" s="1"/>
  <c r="BO27" i="6"/>
  <c r="AK27" i="6"/>
  <c r="AJ27" i="6"/>
  <c r="BP25" i="6" l="1"/>
  <c r="AY25" i="6" s="1"/>
  <c r="BO25" i="6"/>
  <c r="AK25" i="6"/>
  <c r="AJ25" i="6"/>
  <c r="BP23" i="6" l="1"/>
  <c r="AY23" i="6" s="1"/>
  <c r="BO23" i="6"/>
  <c r="AK23" i="6"/>
  <c r="AJ23" i="6"/>
  <c r="BP22" i="6" l="1"/>
  <c r="AY22" i="6" s="1"/>
  <c r="BO22" i="6"/>
  <c r="AK22" i="6"/>
  <c r="AJ22" i="6"/>
  <c r="BP21" i="6" l="1"/>
  <c r="AY21" i="6" s="1"/>
  <c r="BO21" i="6"/>
  <c r="AK21" i="6"/>
  <c r="AJ21" i="6"/>
  <c r="BP19" i="6" l="1"/>
  <c r="AY19" i="6" s="1"/>
  <c r="BO19" i="6"/>
  <c r="AK19" i="6"/>
  <c r="AJ19" i="6"/>
  <c r="BV41" i="6" l="1"/>
  <c r="AH41" i="6"/>
  <c r="AK15" i="6"/>
  <c r="AJ15" i="6"/>
  <c r="BP15" i="6"/>
  <c r="AY15" i="6" s="1"/>
  <c r="BO15" i="6"/>
  <c r="BP14" i="6" l="1"/>
  <c r="AY14" i="6" s="1"/>
  <c r="BO14" i="6"/>
  <c r="AK14" i="6"/>
  <c r="AJ14" i="6"/>
  <c r="BP12" i="6" l="1"/>
  <c r="AY12" i="6" s="1"/>
  <c r="BO12" i="6"/>
  <c r="AK12" i="6"/>
  <c r="AJ12" i="6"/>
  <c r="BP10" i="6" l="1"/>
  <c r="AY10" i="6" s="1"/>
  <c r="BO10" i="6"/>
  <c r="AK10" i="6"/>
  <c r="AJ10" i="6"/>
  <c r="AK8" i="6" l="1"/>
  <c r="AJ8" i="6"/>
  <c r="BP8" i="6"/>
  <c r="AY8" i="6" s="1"/>
  <c r="BO8" i="6"/>
  <c r="BP7" i="6" l="1"/>
  <c r="AY7" i="6" s="1"/>
  <c r="BO7" i="6"/>
  <c r="AK7" i="6"/>
  <c r="AJ7" i="6"/>
  <c r="BO32" i="6" l="1"/>
  <c r="BO42" i="6" s="1"/>
  <c r="BP6" i="6"/>
  <c r="AY6" i="6" s="1"/>
  <c r="BO6" i="6"/>
  <c r="BO47" i="6" s="1"/>
  <c r="AK6" i="6"/>
  <c r="AJ6" i="6"/>
  <c r="BO43" i="6" l="1"/>
  <c r="BU42" i="6"/>
  <c r="BO41" i="6"/>
  <c r="BO44" i="6" s="1"/>
  <c r="BP43" i="6"/>
  <c r="AY43" i="6" s="1"/>
  <c r="AJ43" i="6"/>
  <c r="AK43" i="6"/>
  <c r="AJ32" i="6"/>
  <c r="AJ42" i="6" s="1"/>
  <c r="BN32" i="6"/>
  <c r="AI32" i="6"/>
  <c r="AF32" i="6"/>
  <c r="AE32" i="6"/>
  <c r="Q32" i="6"/>
  <c r="AC32" i="6" s="1"/>
  <c r="BN41" i="6" l="1"/>
  <c r="BN42" i="6" s="1"/>
  <c r="BM44" i="6" s="1"/>
  <c r="BT32" i="6"/>
  <c r="BR32" i="6"/>
  <c r="BU43" i="6"/>
  <c r="BO49" i="6"/>
  <c r="AK32" i="6"/>
  <c r="AI41" i="6"/>
  <c r="AI42" i="6" s="1"/>
  <c r="BP32" i="6"/>
  <c r="AY32" i="6" s="1"/>
  <c r="AJ41" i="6"/>
  <c r="T53" i="6"/>
  <c r="I82" i="12" l="1"/>
  <c r="BP42" i="6"/>
  <c r="AY42" i="6" s="1"/>
  <c r="BP47" i="6"/>
  <c r="AY47" i="6" s="1"/>
  <c r="BT42" i="6"/>
  <c r="BT41" i="6"/>
  <c r="F94" i="12"/>
  <c r="D82" i="12"/>
  <c r="D11" i="12"/>
  <c r="D8" i="16" s="1"/>
  <c r="BP41" i="6"/>
  <c r="AY41" i="6" s="1"/>
  <c r="AK42" i="6"/>
  <c r="AK41" i="6"/>
  <c r="F144" i="12" l="1"/>
  <c r="F128" i="12"/>
  <c r="I144" i="12"/>
  <c r="K143" i="12"/>
  <c r="K144" i="12" s="1"/>
  <c r="D10" i="12"/>
  <c r="D9" i="12"/>
  <c r="BT49" i="6"/>
  <c r="F82" i="12"/>
  <c r="F8" i="16"/>
  <c r="Y38" i="6"/>
  <c r="Y8" i="6"/>
  <c r="Y21" i="6"/>
  <c r="Y22" i="6"/>
  <c r="Y23" i="6"/>
  <c r="Y27" i="6"/>
  <c r="Y29" i="6"/>
  <c r="Y30" i="6"/>
  <c r="Y33" i="6"/>
  <c r="Y34" i="6"/>
  <c r="Y35" i="6"/>
  <c r="Y36" i="6"/>
  <c r="Y37" i="6"/>
  <c r="Y6" i="6"/>
  <c r="AF7" i="6"/>
  <c r="AF8" i="6"/>
  <c r="AF10" i="6"/>
  <c r="AF12" i="6"/>
  <c r="AF14" i="6"/>
  <c r="AF15" i="6"/>
  <c r="AF19" i="6"/>
  <c r="AF21" i="6"/>
  <c r="AF23" i="6"/>
  <c r="AF25" i="6"/>
  <c r="AF27" i="6"/>
  <c r="AF29" i="6"/>
  <c r="AF30" i="6"/>
  <c r="AF31" i="6"/>
  <c r="AF33" i="6"/>
  <c r="AF34" i="6"/>
  <c r="AF35" i="6"/>
  <c r="AF36" i="6"/>
  <c r="AF37" i="6"/>
  <c r="AF6" i="6"/>
  <c r="N38" i="6"/>
  <c r="Q38" i="6" s="1"/>
  <c r="AE37" i="6"/>
  <c r="AB37" i="6"/>
  <c r="Q37" i="6"/>
  <c r="AC37" i="6" s="1"/>
  <c r="AE36" i="6"/>
  <c r="AB36" i="6"/>
  <c r="Q36" i="6"/>
  <c r="AC36" i="6" s="1"/>
  <c r="AE35" i="6"/>
  <c r="AB35" i="6"/>
  <c r="Q35" i="6"/>
  <c r="AC35" i="6" s="1"/>
  <c r="AE34" i="6"/>
  <c r="AB34" i="6"/>
  <c r="AE33" i="6"/>
  <c r="AB33" i="6"/>
  <c r="AE31" i="6"/>
  <c r="AB31" i="6"/>
  <c r="S31" i="6"/>
  <c r="Y31" i="6" s="1"/>
  <c r="AE30" i="6"/>
  <c r="AB30" i="6"/>
  <c r="AB29" i="6"/>
  <c r="AE29" i="6"/>
  <c r="Q29" i="6"/>
  <c r="AC29" i="6" s="1"/>
  <c r="AE27" i="6"/>
  <c r="AB27" i="6"/>
  <c r="S25" i="6"/>
  <c r="Y25" i="6" s="1"/>
  <c r="AE25" i="6"/>
  <c r="AB25" i="6"/>
  <c r="AB23" i="6"/>
  <c r="AE23" i="6"/>
  <c r="AB21" i="6"/>
  <c r="AE21" i="6"/>
  <c r="S19" i="6"/>
  <c r="Y19" i="6" s="1"/>
  <c r="S7" i="6"/>
  <c r="S14" i="6"/>
  <c r="Y14" i="6" s="1"/>
  <c r="Z15" i="6"/>
  <c r="AB15" i="6" s="1"/>
  <c r="P15" i="6"/>
  <c r="S15" i="6" s="1"/>
  <c r="Y15" i="6" s="1"/>
  <c r="Z12" i="6"/>
  <c r="AB12" i="6" s="1"/>
  <c r="P12" i="6"/>
  <c r="S10" i="6"/>
  <c r="Y10" i="6" s="1"/>
  <c r="AE8" i="6"/>
  <c r="AE10" i="6"/>
  <c r="AE14" i="6"/>
  <c r="AE19" i="6"/>
  <c r="AB8" i="6"/>
  <c r="AB10" i="6"/>
  <c r="AB14" i="6"/>
  <c r="AB19" i="6"/>
  <c r="Q8" i="6"/>
  <c r="AC8" i="6" s="1"/>
  <c r="Q10" i="6"/>
  <c r="Q14" i="6"/>
  <c r="AC14" i="6" s="1"/>
  <c r="Q19" i="6"/>
  <c r="AC19" i="6" s="1"/>
  <c r="Q21" i="6"/>
  <c r="AC21" i="6" s="1"/>
  <c r="Q22" i="6"/>
  <c r="Q23" i="6"/>
  <c r="AC23" i="6" s="1"/>
  <c r="Q25" i="6"/>
  <c r="AC25" i="6" s="1"/>
  <c r="Q27" i="6"/>
  <c r="AC27" i="6" s="1"/>
  <c r="Q30" i="6"/>
  <c r="AC30" i="6" s="1"/>
  <c r="Q31" i="6"/>
  <c r="AC31" i="6" s="1"/>
  <c r="Q33" i="6"/>
  <c r="AC33" i="6" s="1"/>
  <c r="Q34" i="6"/>
  <c r="AC34" i="6" s="1"/>
  <c r="AB7" i="6"/>
  <c r="AB6" i="6"/>
  <c r="K145" i="12" l="1"/>
  <c r="K146" i="12" s="1"/>
  <c r="I145" i="12"/>
  <c r="I146" i="12" s="1"/>
  <c r="F129" i="12"/>
  <c r="F130" i="12" s="1"/>
  <c r="F145" i="12"/>
  <c r="F146" i="12" s="1"/>
  <c r="G8" i="16"/>
  <c r="D13" i="12" s="1"/>
  <c r="D14" i="12" s="1"/>
  <c r="Q12" i="6"/>
  <c r="U12" i="6" s="1"/>
  <c r="BG42" i="6"/>
  <c r="Y7" i="6"/>
  <c r="AB42" i="6"/>
  <c r="AF41" i="6"/>
  <c r="T10" i="6"/>
  <c r="T35" i="6"/>
  <c r="U35" i="6"/>
  <c r="U10" i="6"/>
  <c r="T37" i="6"/>
  <c r="U37" i="6"/>
  <c r="S12" i="6"/>
  <c r="BJ42" i="6" s="1"/>
  <c r="T23" i="6"/>
  <c r="T22" i="6"/>
  <c r="T38" i="6"/>
  <c r="U38" i="6"/>
  <c r="T21" i="6"/>
  <c r="T25" i="6"/>
  <c r="U19" i="6"/>
  <c r="U21" i="6"/>
  <c r="U23" i="6"/>
  <c r="T29" i="6"/>
  <c r="U33" i="6"/>
  <c r="AE12" i="6"/>
  <c r="U8" i="6"/>
  <c r="U22" i="6"/>
  <c r="T33" i="6"/>
  <c r="U34" i="6"/>
  <c r="T36" i="6"/>
  <c r="U36" i="6"/>
  <c r="U14" i="6"/>
  <c r="U25" i="6"/>
  <c r="U27" i="6"/>
  <c r="U29" i="6"/>
  <c r="T34" i="6"/>
  <c r="U31" i="6"/>
  <c r="T31" i="6"/>
  <c r="T30" i="6"/>
  <c r="U30" i="6"/>
  <c r="T27" i="6"/>
  <c r="AB43" i="6"/>
  <c r="AB41" i="6"/>
  <c r="AE15" i="6"/>
  <c r="Q15" i="6"/>
  <c r="U15" i="6" s="1"/>
  <c r="T14" i="6"/>
  <c r="T19" i="6"/>
  <c r="AC10" i="6"/>
  <c r="T8" i="6"/>
  <c r="AE7" i="6"/>
  <c r="AE6" i="6"/>
  <c r="Q7" i="6"/>
  <c r="Q6" i="6"/>
  <c r="AC12" i="6" l="1"/>
  <c r="BH42" i="6"/>
  <c r="T12" i="6"/>
  <c r="Y12" i="6"/>
  <c r="Y41" i="6" s="1"/>
  <c r="U42" i="6"/>
  <c r="AE41" i="6"/>
  <c r="AC15" i="6"/>
  <c r="AE43" i="6"/>
  <c r="T15" i="6"/>
  <c r="T6" i="6"/>
  <c r="U6" i="6"/>
  <c r="T7" i="6"/>
  <c r="U7" i="6"/>
  <c r="AE42" i="6"/>
  <c r="AC6" i="6"/>
  <c r="AC7" i="6"/>
  <c r="F39" i="12"/>
  <c r="I39" i="12" s="1"/>
  <c r="C36" i="6"/>
  <c r="D36" i="6"/>
  <c r="E36" i="6"/>
  <c r="B36" i="6"/>
  <c r="F89" i="12"/>
  <c r="BK42" i="6" l="1"/>
  <c r="T42" i="6"/>
  <c r="T43" i="6"/>
  <c r="U43" i="6"/>
  <c r="T41" i="6"/>
  <c r="U41" i="6"/>
  <c r="U50" i="6" s="1"/>
  <c r="D45" i="12"/>
  <c r="F162" i="12"/>
  <c r="D51" i="12" l="1"/>
  <c r="F42" i="12"/>
  <c r="F45" i="12" s="1"/>
  <c r="AC47" i="3"/>
  <c r="F51" i="12" l="1"/>
  <c r="I42" i="12"/>
  <c r="D14" i="16" l="1"/>
  <c r="D13" i="16" l="1"/>
  <c r="D74" i="12"/>
  <c r="F29" i="16"/>
  <c r="I117" i="12"/>
  <c r="I81" i="12" l="1"/>
  <c r="I118" i="12"/>
  <c r="I119" i="12" s="1"/>
  <c r="I120" i="12" s="1"/>
  <c r="K117" i="12"/>
  <c r="K118" i="12" s="1"/>
  <c r="F71" i="12"/>
  <c r="K119" i="12" l="1"/>
  <c r="K120" i="12" s="1"/>
  <c r="H78" i="14" l="1"/>
  <c r="C9" i="6"/>
  <c r="F6" i="6"/>
  <c r="K6" i="6" s="1"/>
  <c r="E6" i="6"/>
  <c r="D6" i="6"/>
  <c r="C6" i="6"/>
  <c r="D4" i="12" l="1"/>
  <c r="L76" i="14"/>
  <c r="M76" i="14" s="1"/>
  <c r="N76" i="14"/>
  <c r="K76" i="14"/>
  <c r="I76" i="14"/>
  <c r="E76" i="14"/>
  <c r="O76" i="14" s="1"/>
  <c r="N75" i="14"/>
  <c r="M75" i="14"/>
  <c r="K75" i="14"/>
  <c r="I75" i="14"/>
  <c r="E75" i="14"/>
  <c r="L62" i="14"/>
  <c r="K62" i="14"/>
  <c r="L61" i="14"/>
  <c r="K61" i="14"/>
  <c r="N74" i="14"/>
  <c r="M74" i="14"/>
  <c r="K74" i="14"/>
  <c r="I74" i="14"/>
  <c r="E74" i="14"/>
  <c r="O74" i="14" s="1"/>
  <c r="N73" i="14"/>
  <c r="M73" i="14"/>
  <c r="K73" i="14"/>
  <c r="I73" i="14"/>
  <c r="E73" i="14"/>
  <c r="O73" i="14" s="1"/>
  <c r="D6" i="12" l="1"/>
  <c r="F7" i="16" s="1"/>
  <c r="G7" i="16" s="1"/>
  <c r="I22" i="12"/>
  <c r="O75" i="14"/>
  <c r="D7" i="12" l="1"/>
  <c r="Q57" i="14"/>
  <c r="M56" i="14"/>
  <c r="Q56" i="14" s="1"/>
  <c r="P58" i="14"/>
  <c r="M57" i="14"/>
  <c r="O57" i="14"/>
  <c r="P57" i="14" s="1"/>
  <c r="O56" i="14"/>
  <c r="N57" i="14"/>
  <c r="N56" i="14"/>
  <c r="L57" i="14"/>
  <c r="L56" i="14"/>
  <c r="O3" i="14"/>
  <c r="O5" i="14"/>
  <c r="O6" i="14"/>
  <c r="O7" i="14"/>
  <c r="O8" i="14"/>
  <c r="O9" i="14"/>
  <c r="O10" i="14"/>
  <c r="O11" i="14"/>
  <c r="O12" i="14"/>
  <c r="O13" i="14"/>
  <c r="O14" i="14"/>
  <c r="O15" i="14"/>
  <c r="O17" i="14"/>
  <c r="O18" i="14"/>
  <c r="O21" i="14"/>
  <c r="O24" i="14"/>
  <c r="O26" i="14"/>
  <c r="O27" i="14"/>
  <c r="O28" i="14"/>
  <c r="O29" i="14"/>
  <c r="O32" i="14"/>
  <c r="O33" i="14"/>
  <c r="O34" i="14"/>
  <c r="O36" i="14"/>
  <c r="O37" i="14"/>
  <c r="O38" i="14"/>
  <c r="O39" i="14"/>
  <c r="O40" i="14"/>
  <c r="O41" i="14"/>
  <c r="O42" i="14"/>
  <c r="O43" i="14"/>
  <c r="O45" i="14"/>
  <c r="O46" i="14"/>
  <c r="O47" i="14"/>
  <c r="O48" i="14"/>
  <c r="O49" i="14"/>
  <c r="O50" i="14"/>
  <c r="O51" i="14"/>
  <c r="O52" i="14"/>
  <c r="O53" i="14"/>
  <c r="O54" i="14"/>
  <c r="O2" i="14"/>
  <c r="O72" i="14"/>
  <c r="O70" i="14"/>
  <c r="O69" i="14"/>
  <c r="O68" i="14"/>
  <c r="O67" i="14"/>
  <c r="O55" i="14"/>
  <c r="L72" i="14"/>
  <c r="N72" i="14"/>
  <c r="M72" i="14"/>
  <c r="K72" i="14"/>
  <c r="I72" i="14"/>
  <c r="E72" i="14"/>
  <c r="I71" i="14"/>
  <c r="E71" i="14"/>
  <c r="N70" i="14"/>
  <c r="M70" i="14"/>
  <c r="K70" i="14"/>
  <c r="I70" i="14"/>
  <c r="E70" i="14"/>
  <c r="N69" i="14"/>
  <c r="M69" i="14"/>
  <c r="K69" i="14"/>
  <c r="I69" i="14"/>
  <c r="E69" i="14"/>
  <c r="K68" i="14"/>
  <c r="D67" i="14"/>
  <c r="N67" i="14" s="1"/>
  <c r="I67" i="14"/>
  <c r="N55" i="14"/>
  <c r="L55" i="14"/>
  <c r="N3" i="14"/>
  <c r="N5" i="14"/>
  <c r="N6" i="14"/>
  <c r="N7" i="14"/>
  <c r="N8" i="14"/>
  <c r="N9" i="14"/>
  <c r="N10" i="14"/>
  <c r="N11" i="14"/>
  <c r="N12" i="14"/>
  <c r="N13" i="14"/>
  <c r="N14" i="14"/>
  <c r="N15" i="14"/>
  <c r="N17" i="14"/>
  <c r="N18" i="14"/>
  <c r="N21" i="14"/>
  <c r="N24" i="14"/>
  <c r="N26" i="14"/>
  <c r="N27" i="14"/>
  <c r="N28" i="14"/>
  <c r="N29" i="14"/>
  <c r="N32" i="14"/>
  <c r="N33" i="14"/>
  <c r="N34" i="14"/>
  <c r="N36" i="14"/>
  <c r="N37" i="14"/>
  <c r="N38" i="14"/>
  <c r="N39" i="14"/>
  <c r="N40" i="14"/>
  <c r="N41" i="14"/>
  <c r="N42" i="14"/>
  <c r="N43" i="14"/>
  <c r="N45" i="14"/>
  <c r="N46" i="14"/>
  <c r="N47" i="14"/>
  <c r="N48" i="14"/>
  <c r="N49" i="14"/>
  <c r="N50" i="14"/>
  <c r="N51" i="14"/>
  <c r="N52" i="14"/>
  <c r="N53" i="14"/>
  <c r="N54" i="14"/>
  <c r="N2" i="14"/>
  <c r="L36" i="14"/>
  <c r="M36" i="14" s="1"/>
  <c r="L8" i="14"/>
  <c r="M8" i="14" s="1"/>
  <c r="L53" i="14"/>
  <c r="M53" i="14" s="1"/>
  <c r="M3" i="14"/>
  <c r="M5" i="14"/>
  <c r="M6" i="14"/>
  <c r="M7" i="14"/>
  <c r="M9" i="14"/>
  <c r="M10" i="14"/>
  <c r="M11" i="14"/>
  <c r="M12" i="14"/>
  <c r="M13" i="14"/>
  <c r="M14" i="14"/>
  <c r="M15" i="14"/>
  <c r="M17" i="14"/>
  <c r="M18" i="14"/>
  <c r="M21" i="14"/>
  <c r="M24" i="14"/>
  <c r="M26" i="14"/>
  <c r="M27" i="14"/>
  <c r="M28" i="14"/>
  <c r="M29" i="14"/>
  <c r="M32" i="14"/>
  <c r="M33" i="14"/>
  <c r="M34" i="14"/>
  <c r="M37" i="14"/>
  <c r="M38" i="14"/>
  <c r="M39" i="14"/>
  <c r="M40" i="14"/>
  <c r="M41" i="14"/>
  <c r="M42" i="14"/>
  <c r="M43" i="14"/>
  <c r="M45" i="14"/>
  <c r="M46" i="14"/>
  <c r="M47" i="14"/>
  <c r="M48" i="14"/>
  <c r="M49" i="14"/>
  <c r="M50" i="14"/>
  <c r="M51" i="14"/>
  <c r="M52" i="14"/>
  <c r="M54" i="14"/>
  <c r="M2" i="14"/>
  <c r="I3" i="12" l="1"/>
  <c r="E13" i="16" s="1"/>
  <c r="F3" i="12"/>
  <c r="F34" i="12" s="1"/>
  <c r="F178" i="12"/>
  <c r="E178" i="12"/>
  <c r="Q58" i="14"/>
  <c r="E57" i="14"/>
  <c r="P56" i="14"/>
  <c r="M68" i="14"/>
  <c r="E68" i="14"/>
  <c r="N68" i="14"/>
  <c r="I68" i="14"/>
  <c r="K67" i="14"/>
  <c r="M67" i="14"/>
  <c r="E67" i="14"/>
  <c r="K9" i="14"/>
  <c r="I9" i="14"/>
  <c r="E9" i="14"/>
  <c r="C43" i="14"/>
  <c r="K45" i="14"/>
  <c r="I45" i="14"/>
  <c r="E45" i="14"/>
  <c r="F36" i="12" l="1"/>
  <c r="F174" i="12"/>
  <c r="I34" i="12"/>
  <c r="I36" i="12" s="1"/>
  <c r="I25" i="16" s="1"/>
  <c r="J53" i="14"/>
  <c r="J39" i="14"/>
  <c r="K39" i="14" s="1"/>
  <c r="K52" i="14"/>
  <c r="I52" i="14"/>
  <c r="E52" i="14"/>
  <c r="K3" i="14"/>
  <c r="K5" i="14"/>
  <c r="K6" i="14"/>
  <c r="K7" i="14"/>
  <c r="K8" i="14"/>
  <c r="K10" i="14"/>
  <c r="K11" i="14"/>
  <c r="K12" i="14"/>
  <c r="K13" i="14"/>
  <c r="K14" i="14"/>
  <c r="K15" i="14"/>
  <c r="K16" i="14"/>
  <c r="K17" i="14"/>
  <c r="K18" i="14"/>
  <c r="K21" i="14"/>
  <c r="K23" i="14"/>
  <c r="K24" i="14"/>
  <c r="K26" i="14"/>
  <c r="K27" i="14"/>
  <c r="K28" i="14"/>
  <c r="K29" i="14"/>
  <c r="K32" i="14"/>
  <c r="K33" i="14"/>
  <c r="K34" i="14"/>
  <c r="K35" i="14"/>
  <c r="K36" i="14"/>
  <c r="K37" i="14"/>
  <c r="K38" i="14"/>
  <c r="K40" i="14"/>
  <c r="K41" i="14"/>
  <c r="K42" i="14"/>
  <c r="K43" i="14"/>
  <c r="K44" i="14"/>
  <c r="K46" i="14"/>
  <c r="K47" i="14"/>
  <c r="K48" i="14"/>
  <c r="K49" i="14"/>
  <c r="K50" i="14"/>
  <c r="K51" i="14"/>
  <c r="K53" i="14"/>
  <c r="K54" i="14"/>
  <c r="K2" i="14"/>
  <c r="I21" i="14"/>
  <c r="I37" i="14"/>
  <c r="E37" i="14"/>
  <c r="K56" i="14" l="1"/>
  <c r="K55" i="14"/>
  <c r="E21" i="14"/>
  <c r="F75" i="12" l="1"/>
  <c r="I75" i="12" s="1"/>
  <c r="D57" i="12"/>
  <c r="E23" i="6" l="1"/>
  <c r="D23" i="6"/>
  <c r="C23" i="6"/>
  <c r="AM42" i="6" s="1"/>
  <c r="D9" i="6"/>
  <c r="AN42" i="6" s="1"/>
  <c r="E3" i="6"/>
  <c r="D3" i="6"/>
  <c r="C3" i="6"/>
  <c r="D12" i="6"/>
  <c r="E9" i="6"/>
  <c r="F9" i="6"/>
  <c r="K9" i="6" s="1"/>
  <c r="D18" i="12" s="1"/>
  <c r="D19" i="12" s="1"/>
  <c r="I54" i="14"/>
  <c r="E54" i="14"/>
  <c r="I53" i="14"/>
  <c r="I51" i="14"/>
  <c r="E53" i="14"/>
  <c r="E51" i="14"/>
  <c r="I50" i="14"/>
  <c r="E50" i="14"/>
  <c r="I49" i="14"/>
  <c r="E49" i="14"/>
  <c r="I48" i="14"/>
  <c r="I47" i="14"/>
  <c r="I46" i="14"/>
  <c r="I44" i="14"/>
  <c r="E48" i="14"/>
  <c r="E46" i="14"/>
  <c r="E44" i="14"/>
  <c r="I43" i="14"/>
  <c r="I42" i="14"/>
  <c r="E42" i="14"/>
  <c r="I41" i="14"/>
  <c r="E41" i="14"/>
  <c r="I40" i="14"/>
  <c r="E40" i="14"/>
  <c r="I39" i="14"/>
  <c r="E39" i="14"/>
  <c r="I38" i="14"/>
  <c r="E38" i="14"/>
  <c r="I36" i="14"/>
  <c r="I35" i="14"/>
  <c r="E35" i="14"/>
  <c r="I34" i="14"/>
  <c r="E34" i="14"/>
  <c r="I33" i="14"/>
  <c r="E33" i="14"/>
  <c r="I32" i="14"/>
  <c r="E32" i="14"/>
  <c r="I31" i="14"/>
  <c r="E31" i="14"/>
  <c r="I29" i="14"/>
  <c r="I28" i="14"/>
  <c r="E28" i="14"/>
  <c r="I27" i="14"/>
  <c r="E27" i="14"/>
  <c r="I26" i="14"/>
  <c r="E26" i="14"/>
  <c r="I25" i="14"/>
  <c r="E25" i="14"/>
  <c r="I24" i="14"/>
  <c r="E24" i="14"/>
  <c r="I23" i="14"/>
  <c r="E23" i="14"/>
  <c r="C22" i="14"/>
  <c r="I22" i="14" s="1"/>
  <c r="E22" i="14"/>
  <c r="I20" i="14"/>
  <c r="E20" i="14"/>
  <c r="I19" i="14"/>
  <c r="E19" i="14"/>
  <c r="I2" i="14"/>
  <c r="I3" i="14"/>
  <c r="I4" i="14"/>
  <c r="I5" i="14"/>
  <c r="I6" i="14"/>
  <c r="I7" i="14"/>
  <c r="I8" i="14"/>
  <c r="I10" i="14"/>
  <c r="I11" i="14"/>
  <c r="I12" i="14"/>
  <c r="I13" i="14"/>
  <c r="I14" i="14"/>
  <c r="I15" i="14"/>
  <c r="I16" i="14"/>
  <c r="I17" i="14"/>
  <c r="I18" i="14"/>
  <c r="E18" i="14"/>
  <c r="E17" i="14"/>
  <c r="E16" i="14"/>
  <c r="E15" i="14"/>
  <c r="E14" i="14"/>
  <c r="E13" i="14"/>
  <c r="E12" i="14"/>
  <c r="E11" i="14"/>
  <c r="E10" i="14"/>
  <c r="E8" i="14"/>
  <c r="E7" i="14"/>
  <c r="E6" i="14"/>
  <c r="E5" i="14"/>
  <c r="E4" i="14"/>
  <c r="E3" i="14"/>
  <c r="E2" i="14"/>
  <c r="E43" i="14"/>
  <c r="E47" i="14"/>
  <c r="E29" i="14"/>
  <c r="E36" i="14"/>
  <c r="F17" i="12" l="1"/>
  <c r="I17" i="12"/>
  <c r="AO42" i="6"/>
  <c r="AL42" i="6"/>
  <c r="AP42" i="6"/>
  <c r="K3" i="6"/>
  <c r="K23" i="6"/>
  <c r="K12" i="6"/>
  <c r="F20" i="12" s="1"/>
  <c r="E62" i="14"/>
  <c r="E61" i="14"/>
  <c r="E56" i="14"/>
  <c r="E55" i="14"/>
  <c r="F60" i="12"/>
  <c r="D119" i="12"/>
  <c r="D21" i="12"/>
  <c r="F39" i="3"/>
  <c r="D39" i="3"/>
  <c r="E14" i="16" l="1"/>
  <c r="I80" i="12"/>
  <c r="F80" i="12"/>
  <c r="I21" i="12"/>
  <c r="I25" i="12" s="1"/>
  <c r="I28" i="12" s="1"/>
  <c r="F21" i="12"/>
  <c r="F25" i="12" s="1"/>
  <c r="F101" i="12" s="1"/>
  <c r="F102" i="12" s="1"/>
  <c r="F103" i="12" s="1"/>
  <c r="F74" i="12"/>
  <c r="F28" i="16" s="1"/>
  <c r="I74" i="12" s="1"/>
  <c r="I71" i="12" s="1"/>
  <c r="D83" i="12"/>
  <c r="D25" i="12"/>
  <c r="D101" i="12" s="1"/>
  <c r="I55" i="12"/>
  <c r="F55" i="12"/>
  <c r="D58" i="12"/>
  <c r="D43" i="12" s="1"/>
  <c r="I20" i="12"/>
  <c r="F171" i="12"/>
  <c r="K57" i="14"/>
  <c r="K58" i="14" s="1"/>
  <c r="E58" i="14"/>
  <c r="F117" i="12"/>
  <c r="F118" i="12" s="1"/>
  <c r="F119" i="12" s="1"/>
  <c r="D120" i="12"/>
  <c r="F83" i="12" l="1"/>
  <c r="I83" i="12"/>
  <c r="I101" i="12"/>
  <c r="I147" i="12"/>
  <c r="I148" i="12" s="1"/>
  <c r="I149" i="12" s="1"/>
  <c r="K147" i="12"/>
  <c r="K148" i="12" s="1"/>
  <c r="K149" i="12" s="1"/>
  <c r="K121" i="12"/>
  <c r="K122" i="12" s="1"/>
  <c r="K123" i="12" s="1"/>
  <c r="I121" i="12"/>
  <c r="I122" i="12" s="1"/>
  <c r="I123" i="12" s="1"/>
  <c r="I93" i="12" s="1"/>
  <c r="I90" i="12"/>
  <c r="I91" i="12" s="1"/>
  <c r="J40" i="12"/>
  <c r="I29" i="12"/>
  <c r="D102" i="12"/>
  <c r="D131" i="12"/>
  <c r="D132" i="12" s="1"/>
  <c r="D133" i="12" s="1"/>
  <c r="E131" i="12"/>
  <c r="E132" i="12" s="1"/>
  <c r="E133" i="12" s="1"/>
  <c r="F131" i="12"/>
  <c r="F132" i="12" s="1"/>
  <c r="F133" i="12" s="1"/>
  <c r="D147" i="12"/>
  <c r="F147" i="12"/>
  <c r="E147" i="12"/>
  <c r="E148" i="12" s="1"/>
  <c r="E149" i="12" s="1"/>
  <c r="D105" i="12" s="1"/>
  <c r="D28" i="12"/>
  <c r="E121" i="12"/>
  <c r="E122" i="12" s="1"/>
  <c r="E123" i="12" s="1"/>
  <c r="D121" i="12"/>
  <c r="D122" i="12" s="1"/>
  <c r="D123" i="12" s="1"/>
  <c r="D93" i="12" s="1"/>
  <c r="F120" i="12"/>
  <c r="F57" i="12"/>
  <c r="F28" i="12"/>
  <c r="F61" i="12" l="1"/>
  <c r="F62" i="12" s="1"/>
  <c r="I95" i="12"/>
  <c r="K124" i="12"/>
  <c r="K125" i="12" s="1"/>
  <c r="F46" i="12"/>
  <c r="F47" i="12" s="1"/>
  <c r="I46" i="12"/>
  <c r="I61" i="12"/>
  <c r="I105" i="12"/>
  <c r="F105" i="12"/>
  <c r="I102" i="12"/>
  <c r="I131" i="12"/>
  <c r="I132" i="12" s="1"/>
  <c r="I133" i="12" s="1"/>
  <c r="K131" i="12"/>
  <c r="K132" i="12" s="1"/>
  <c r="K133" i="12" s="1"/>
  <c r="D103" i="12"/>
  <c r="E139" i="12"/>
  <c r="D139" i="12"/>
  <c r="F139" i="12"/>
  <c r="D46" i="12"/>
  <c r="D47" i="12" s="1"/>
  <c r="D95" i="12"/>
  <c r="D96" i="12" s="1"/>
  <c r="D61" i="12"/>
  <c r="D29" i="12"/>
  <c r="E40" i="12"/>
  <c r="F29" i="12"/>
  <c r="G40" i="12"/>
  <c r="D91" i="12"/>
  <c r="F58" i="12"/>
  <c r="F121" i="12"/>
  <c r="F122" i="12" s="1"/>
  <c r="F123" i="12" s="1"/>
  <c r="F93" i="12" s="1"/>
  <c r="I103" i="12" l="1"/>
  <c r="I139" i="12"/>
  <c r="I140" i="12" s="1"/>
  <c r="I141" i="12" s="1"/>
  <c r="I104" i="12" s="1"/>
  <c r="I106" i="12" s="1"/>
  <c r="I107" i="12" s="1"/>
  <c r="I108" i="12" s="1"/>
  <c r="K139" i="12"/>
  <c r="K140" i="12" s="1"/>
  <c r="K141" i="12" s="1"/>
  <c r="F104" i="12"/>
  <c r="F106" i="12" s="1"/>
  <c r="F107" i="12" s="1"/>
  <c r="F108" i="12" s="1"/>
  <c r="D26" i="16"/>
  <c r="D27" i="16"/>
  <c r="I59" i="12"/>
  <c r="I60" i="12" s="1"/>
  <c r="I62" i="12" s="1"/>
  <c r="K40" i="12"/>
  <c r="F43" i="12"/>
  <c r="I43" i="12" s="1"/>
  <c r="I44" i="12" l="1"/>
  <c r="I45" i="12" s="1"/>
  <c r="B42" i="3"/>
  <c r="AA41" i="3"/>
  <c r="Z41" i="3"/>
  <c r="W41" i="3"/>
  <c r="AA40" i="3"/>
  <c r="Z40" i="3"/>
  <c r="M40" i="3"/>
  <c r="Q40" i="3" s="1"/>
  <c r="C40" i="3"/>
  <c r="AA39" i="3"/>
  <c r="Z39" i="3"/>
  <c r="S39" i="3"/>
  <c r="U39" i="3" s="1"/>
  <c r="N41" i="3" s="1"/>
  <c r="B41" i="3" s="1"/>
  <c r="H41" i="3" s="1"/>
  <c r="L39" i="3"/>
  <c r="M39" i="3" s="1"/>
  <c r="G39" i="3"/>
  <c r="C39" i="3"/>
  <c r="E39" i="3" s="1"/>
  <c r="I51" i="12" l="1"/>
  <c r="I47" i="12"/>
  <c r="Z42" i="3"/>
  <c r="AA42" i="3"/>
  <c r="N40" i="3"/>
  <c r="N44" i="3" s="1"/>
  <c r="O42" i="3"/>
  <c r="Q39" i="3"/>
  <c r="R40" i="3" s="1"/>
  <c r="I39" i="3"/>
  <c r="O39" i="3" s="1"/>
  <c r="V39" i="3" s="1"/>
  <c r="W39" i="3" s="1"/>
  <c r="R41" i="3" s="1"/>
  <c r="H42" i="3"/>
  <c r="H40" i="3"/>
  <c r="R42" i="3" l="1"/>
  <c r="R44" i="3" s="1"/>
  <c r="P39" i="3"/>
  <c r="Z5" i="3" l="1"/>
  <c r="Z4" i="3"/>
  <c r="E166" i="12" l="1"/>
  <c r="D174" i="12"/>
  <c r="D171" i="12"/>
  <c r="Z3" i="3"/>
  <c r="Z6" i="3" s="1"/>
  <c r="AA5" i="3"/>
  <c r="AA4" i="3"/>
  <c r="E174" i="12" l="1"/>
  <c r="E171" i="12"/>
  <c r="AA3" i="3"/>
  <c r="AA6" i="3" s="1"/>
  <c r="Z18" i="3" l="1"/>
  <c r="W14" i="3"/>
  <c r="Z11" i="3"/>
  <c r="AA11" i="3" l="1"/>
  <c r="AA18" i="3"/>
  <c r="Z10" i="3" l="1"/>
  <c r="Z17" i="3"/>
  <c r="M18" i="3"/>
  <c r="Q18" i="3" s="1"/>
  <c r="Z12" i="3" l="1"/>
  <c r="Z13" i="3" s="1"/>
  <c r="AA10" i="3"/>
  <c r="Z19" i="3"/>
  <c r="T17" i="3"/>
  <c r="AA12" i="3" l="1"/>
  <c r="AA13" i="3" s="1"/>
  <c r="AA19" i="3"/>
  <c r="E27" i="3"/>
  <c r="Q30" i="3" s="1"/>
  <c r="G27" i="3"/>
  <c r="O29" i="3" s="1"/>
  <c r="H30" i="3"/>
  <c r="AA17" i="3" l="1"/>
  <c r="F3" i="3"/>
  <c r="G3" i="3" s="1"/>
  <c r="D3" i="3"/>
  <c r="T10" i="3"/>
  <c r="F17" i="3"/>
  <c r="G17" i="3" s="1"/>
  <c r="I17" i="3" s="1"/>
  <c r="O17" i="3" s="1"/>
  <c r="V17" i="3" s="1"/>
  <c r="W17" i="3" s="1"/>
  <c r="D17" i="3"/>
  <c r="O20" i="3"/>
  <c r="C18" i="3"/>
  <c r="S17" i="3"/>
  <c r="U17" i="3" s="1"/>
  <c r="L17" i="3"/>
  <c r="M17" i="3" s="1"/>
  <c r="N18" i="3" s="1"/>
  <c r="C17" i="3"/>
  <c r="W12" i="3"/>
  <c r="C14" i="3"/>
  <c r="U12" i="3"/>
  <c r="M4" i="3"/>
  <c r="Q4" i="3" s="1"/>
  <c r="B6" i="3"/>
  <c r="W5" i="3"/>
  <c r="C4" i="3"/>
  <c r="S3" i="3"/>
  <c r="U3" i="3" s="1"/>
  <c r="N5" i="3" s="1"/>
  <c r="B5" i="3" s="1"/>
  <c r="H5" i="3" s="1"/>
  <c r="L3" i="3"/>
  <c r="M3" i="3" s="1"/>
  <c r="C3" i="3"/>
  <c r="M30" i="3"/>
  <c r="B13" i="3"/>
  <c r="F10" i="3"/>
  <c r="G10" i="3" s="1"/>
  <c r="D10" i="3"/>
  <c r="O13" i="3" l="1"/>
  <c r="H6" i="3"/>
  <c r="E17" i="3"/>
  <c r="P17" i="3" s="1"/>
  <c r="E3" i="3"/>
  <c r="O6" i="3" s="1"/>
  <c r="H4" i="3"/>
  <c r="R20" i="3"/>
  <c r="R19" i="3"/>
  <c r="H21" i="3"/>
  <c r="N19" i="3"/>
  <c r="Z20" i="3" s="1"/>
  <c r="N4" i="3"/>
  <c r="I3" i="3"/>
  <c r="O3" i="3" s="1"/>
  <c r="V3" i="3" s="1"/>
  <c r="Q17" i="3" l="1"/>
  <c r="R18" i="3" s="1"/>
  <c r="Q21" i="3"/>
  <c r="R21" i="3" s="1"/>
  <c r="R22" i="3" s="1"/>
  <c r="Q3" i="3"/>
  <c r="R4" i="3" s="1"/>
  <c r="W3" i="3"/>
  <c r="R5" i="3" s="1"/>
  <c r="AA20" i="3"/>
  <c r="M21" i="3"/>
  <c r="N21" i="3" s="1"/>
  <c r="I21" i="3"/>
  <c r="R6" i="3"/>
  <c r="P3" i="3"/>
  <c r="N8" i="3"/>
  <c r="R8" i="3" l="1"/>
  <c r="N22" i="3"/>
  <c r="S10" i="3" l="1"/>
  <c r="U10" i="3" s="1"/>
  <c r="C11" i="3"/>
  <c r="M11" i="3" s="1"/>
  <c r="Q11" i="3" s="1"/>
  <c r="K27" i="3"/>
  <c r="K25" i="3"/>
  <c r="K24" i="3"/>
  <c r="I10" i="3"/>
  <c r="O10" i="3" s="1"/>
  <c r="R13" i="3" s="1"/>
  <c r="H27" i="3"/>
  <c r="Q27" i="3"/>
  <c r="R30" i="3" s="1"/>
  <c r="N29" i="3"/>
  <c r="H29" i="3"/>
  <c r="I27" i="3"/>
  <c r="O27" i="3" s="1"/>
  <c r="R29" i="3" s="1"/>
  <c r="N12" i="3" l="1"/>
  <c r="H14" i="3"/>
  <c r="P27" i="3"/>
  <c r="H28" i="3"/>
  <c r="M28" i="3" s="1"/>
  <c r="Q28" i="3" s="1"/>
  <c r="R28" i="3" s="1"/>
  <c r="V10" i="3"/>
  <c r="W10" i="3" s="1"/>
  <c r="R12" i="3" l="1"/>
  <c r="M14" i="3"/>
  <c r="I14" i="3"/>
  <c r="R31" i="3"/>
  <c r="L27" i="3" l="1"/>
  <c r="M27" i="3" s="1"/>
  <c r="N30" i="3" l="1"/>
  <c r="N28" i="3"/>
  <c r="L24" i="3"/>
  <c r="M24" i="3" s="1"/>
  <c r="L25" i="3"/>
  <c r="L10" i="3"/>
  <c r="H25" i="3"/>
  <c r="N31" i="3" l="1"/>
  <c r="C10" i="3"/>
  <c r="E10" i="3" s="1"/>
  <c r="M25" i="3"/>
  <c r="M10" i="3"/>
  <c r="N14" i="3" s="1"/>
  <c r="N11" i="3" l="1"/>
  <c r="P10" i="3"/>
  <c r="Q14" i="3" s="1"/>
  <c r="N15" i="3" l="1"/>
  <c r="Q10" i="3"/>
  <c r="R11" i="3" l="1"/>
  <c r="R14" i="3"/>
  <c r="R15" i="3" l="1"/>
  <c r="I57" i="12" l="1"/>
  <c r="I58" i="12" s="1"/>
  <c r="E11" i="17" l="1"/>
  <c r="D97" i="12"/>
  <c r="D16" i="12"/>
  <c r="D41" i="12" s="1"/>
  <c r="F14" i="12"/>
  <c r="I14" i="12"/>
  <c r="E84" i="12" l="1"/>
  <c r="F16" i="12"/>
  <c r="I16" i="12"/>
  <c r="E98" i="12"/>
  <c r="J84" i="12" l="1"/>
  <c r="J109" i="12"/>
  <c r="G84" i="12"/>
  <c r="G109" i="12"/>
  <c r="K84" i="12"/>
  <c r="H29" i="16" s="1"/>
  <c r="Z50" i="3"/>
  <c r="Z30" i="3" s="1"/>
  <c r="F95" i="12"/>
  <c r="F96" i="12" s="1"/>
  <c r="I96" i="12"/>
  <c r="I97" i="12" s="1"/>
  <c r="J98" i="12" s="1"/>
  <c r="J110" i="12" s="1"/>
  <c r="K109" i="12" l="1"/>
  <c r="H31" i="16" s="1"/>
  <c r="F97" i="12"/>
  <c r="G98" i="12" s="1"/>
  <c r="G110" i="12" s="1"/>
  <c r="AB50" i="3" l="1"/>
  <c r="AB30" i="3" s="1"/>
  <c r="AA50" i="3"/>
  <c r="AA30" i="3" s="1"/>
  <c r="E157" i="12"/>
  <c r="K98" i="12"/>
  <c r="H30" i="16" s="1"/>
  <c r="K110" i="12"/>
  <c r="F157" i="12"/>
  <c r="AC50" i="3"/>
  <c r="AC30" i="3" s="1"/>
  <c r="D62" i="12" l="1"/>
  <c r="BJ43" i="6" l="1"/>
  <c r="BQ41" i="6"/>
  <c r="BQ42" i="6"/>
  <c r="BR42" i="6"/>
  <c r="BF41" i="6"/>
  <c r="BK15" i="6"/>
  <c r="BK41" i="6" s="1"/>
  <c r="BR41" i="6" l="1"/>
  <c r="BR49" i="6" s="1"/>
  <c r="D63" i="12" l="1"/>
  <c r="D64" i="12" s="1"/>
  <c r="D48" i="12"/>
  <c r="D49" i="12" s="1"/>
  <c r="E50" i="12" s="1"/>
  <c r="E52" i="12" s="1"/>
  <c r="D76" i="12"/>
  <c r="D77" i="12" s="1"/>
  <c r="E78" i="12" s="1"/>
  <c r="E85" i="12" s="1"/>
  <c r="F48" i="12"/>
  <c r="F49" i="12" s="1"/>
  <c r="F76" i="12"/>
  <c r="F77" i="12" s="1"/>
  <c r="G78" i="12" s="1"/>
  <c r="F63" i="12"/>
  <c r="F64" i="12" s="1"/>
  <c r="G65" i="12" s="1"/>
  <c r="I76" i="12"/>
  <c r="I77" i="12" s="1"/>
  <c r="J78" i="12" s="1"/>
  <c r="I48" i="12"/>
  <c r="I49" i="12" s="1"/>
  <c r="J50" i="12" s="1"/>
  <c r="I63" i="12"/>
  <c r="I64" i="12" s="1"/>
  <c r="J65" i="12" s="1"/>
  <c r="E65" i="12" l="1"/>
  <c r="D66" i="12"/>
  <c r="G50" i="12"/>
  <c r="G52" i="12" s="1"/>
  <c r="F140" i="12"/>
  <c r="F141" i="12" s="1"/>
  <c r="K65" i="12"/>
  <c r="H27" i="16" s="1"/>
  <c r="K78" i="12"/>
  <c r="H28" i="16" s="1"/>
  <c r="J85" i="12"/>
  <c r="AB49" i="3"/>
  <c r="J52" i="12"/>
  <c r="Z49" i="3"/>
  <c r="Z29" i="3" s="1"/>
  <c r="G85" i="12"/>
  <c r="AA49" i="3" s="1"/>
  <c r="AA29" i="3" s="1"/>
  <c r="K50" i="12" l="1"/>
  <c r="H26" i="16" s="1"/>
  <c r="K52" i="12"/>
  <c r="K85" i="12"/>
  <c r="F156" i="12"/>
  <c r="AC49" i="3"/>
  <c r="AC29" i="3" s="1"/>
  <c r="D156" i="12"/>
  <c r="E156" i="12"/>
  <c r="AB29" i="3"/>
  <c r="E37" i="12" l="1"/>
  <c r="E67" i="12" s="1"/>
  <c r="Z48" i="3" l="1"/>
  <c r="D155" i="12"/>
  <c r="Z51" i="3" l="1"/>
  <c r="Z28" i="3"/>
  <c r="Z31" i="3" s="1"/>
  <c r="G37" i="12" l="1"/>
  <c r="G67" i="12" l="1"/>
  <c r="AB48" i="3"/>
  <c r="AB28" i="3" l="1"/>
  <c r="AB31" i="3" s="1"/>
  <c r="AB51" i="3"/>
  <c r="AA48" i="3"/>
  <c r="G111" i="12"/>
  <c r="E155" i="12"/>
  <c r="AA28" i="3" l="1"/>
  <c r="AA31" i="3" s="1"/>
  <c r="AA51" i="3"/>
  <c r="E15" i="16"/>
  <c r="F112" i="12"/>
  <c r="E153" i="12"/>
  <c r="E154" i="12" s="1"/>
  <c r="E16" i="16" l="1"/>
  <c r="E158" i="12"/>
  <c r="E175" i="12" s="1"/>
  <c r="F113" i="12"/>
  <c r="F114" i="12" l="1"/>
  <c r="E17" i="16"/>
  <c r="E159" i="12"/>
  <c r="E167" i="12" s="1"/>
  <c r="E168" i="12" s="1"/>
  <c r="E176" i="12"/>
  <c r="E179" i="12"/>
  <c r="E180" i="12" s="1"/>
  <c r="E18" i="16" l="1"/>
  <c r="E160" i="12"/>
  <c r="E170" i="12" s="1"/>
  <c r="E172" i="12" s="1"/>
  <c r="J37" i="12" l="1"/>
  <c r="I32" i="16" l="1"/>
  <c r="J67" i="12"/>
  <c r="K37" i="12"/>
  <c r="H25" i="16" s="1"/>
  <c r="H32" i="16" s="1"/>
  <c r="AC48" i="3" l="1"/>
  <c r="F155" i="12"/>
  <c r="K67" i="12"/>
  <c r="J111" i="12"/>
  <c r="F153" i="12" l="1"/>
  <c r="F154" i="12" s="1"/>
  <c r="I112" i="12"/>
  <c r="K111" i="12"/>
  <c r="AC28" i="3"/>
  <c r="AC31" i="3" s="1"/>
  <c r="AC51" i="3"/>
  <c r="F158" i="12" l="1"/>
  <c r="F175" i="12" s="1"/>
  <c r="I113" i="12"/>
  <c r="I114" i="12" l="1"/>
  <c r="F159" i="12"/>
  <c r="F167" i="12" s="1"/>
  <c r="F168" i="12" s="1"/>
  <c r="E164" i="12"/>
  <c r="F160" i="12" s="1"/>
  <c r="F170" i="12" s="1"/>
  <c r="F172" i="12" s="1"/>
  <c r="F176" i="12"/>
  <c r="F179" i="12"/>
  <c r="F180" i="12" s="1"/>
  <c r="E140" i="12"/>
  <c r="E141" i="12" s="1"/>
  <c r="D140" i="12"/>
  <c r="D141" i="12" s="1"/>
  <c r="D148" i="12"/>
  <c r="D149" i="12" s="1"/>
  <c r="F148" i="12"/>
  <c r="F149" i="12" s="1"/>
  <c r="D104" i="12" l="1"/>
  <c r="D106" i="12" s="1"/>
  <c r="D107" i="12" s="1"/>
  <c r="D108" i="12" s="1"/>
  <c r="E109" i="12" s="1"/>
  <c r="E110" i="12" s="1"/>
  <c r="D157" i="12" l="1"/>
  <c r="E111" i="12"/>
  <c r="D112" i="12" l="1"/>
  <c r="D153" i="12"/>
  <c r="D154" i="12" s="1"/>
  <c r="D15" i="16"/>
  <c r="D16" i="16" l="1"/>
  <c r="D158" i="12"/>
  <c r="D175" i="12" s="1"/>
  <c r="D113" i="12"/>
  <c r="D176" i="12" l="1"/>
  <c r="D179" i="12"/>
  <c r="D180" i="12" s="1"/>
  <c r="E163" i="12"/>
  <c r="D159" i="12"/>
  <c r="D167" i="12" s="1"/>
  <c r="D168" i="12" s="1"/>
  <c r="D114" i="12"/>
  <c r="D17" i="16"/>
  <c r="D18" i="16" l="1"/>
  <c r="D160" i="12"/>
  <c r="D170" i="12" s="1"/>
  <c r="D172"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tc={5C75C38C-98D2-4B04-9696-3E3A2F37FE72}</author>
  </authors>
  <commentList>
    <comment ref="C2" authorId="0" shapeId="0" xr:uid="{5C75C38C-98D2-4B04-9696-3E3A2F37FE72}">
      <text>
        <t>[Threaded comment]
Your version of Excel allows you to read this threaded comment; however, any edits to it will get removed if the file is opened in a newer version of Excel. Learn more: https://go.microsoft.com/fwlink/?linkid=870924
Comment:
    Step 1: Verify/Adjust any assumptions
A, B, C (with 1-2 lines per each)
Step 2: View how need is currently being met / could be met through assumptions and current policies
Step 3: Policy Adjustments to meet needs
Step 4: View how need is being met after adjustments and policy changes
2025 Values, not 2020.</t>
      </text>
    </comment>
  </commentList>
</comments>
</file>

<file path=xl/sharedStrings.xml><?xml version="1.0" encoding="utf-8"?>
<sst xmlns="http://schemas.openxmlformats.org/spreadsheetml/2006/main" count="855" uniqueCount="547">
  <si>
    <t>BUILDING FOR SUCCESS IN OHIO 2024: POLICIES THAT CAN ADDRESS CHARTER SCHOOL FACILITY NEEDS</t>
  </si>
  <si>
    <t>Overview</t>
  </si>
  <si>
    <t>This tool uses a new methodology, called the Charter School Facility Index, to assess the extent to which Ohio is meeting the full facility needs of its charter schools. It looks not just how a policy reads on paper, but also the impact on the ground in meeting actual need. An Index of 100 percent means a state is meeting 100 percent of the need. The Charter School Facility Index informs Ohio policymakers about how much of charter school facility needs their policies are currently meeting and, further, how much of future need will be met if policies remain the same.</t>
  </si>
  <si>
    <t>Through this Charter School Facility Index Tool, policymakers can examine the potential impact of new or revised policies and explore how they can use the full array of available policies to meet the overall need. The tool shows how policymakers in Ohio can mix and match the various policies, improving those that already exist in the state and adding some that other states are using, with the goal of meeting 100 percent of need.</t>
  </si>
  <si>
    <r>
      <rPr>
        <sz val="11"/>
        <color theme="1"/>
        <rFont val="Calibri"/>
        <family val="2"/>
        <scheme val="minor"/>
      </rPr>
      <t>For more details on the Charter School Facility Index and its benefits, see Excel</t>
    </r>
    <r>
      <rPr>
        <i/>
        <sz val="11"/>
        <color theme="1"/>
        <rFont val="Calibri"/>
        <family val="2"/>
        <scheme val="minor"/>
      </rPr>
      <t>in</t>
    </r>
    <r>
      <rPr>
        <sz val="11"/>
        <color theme="1"/>
        <rFont val="Calibri"/>
        <family val="2"/>
        <scheme val="minor"/>
      </rPr>
      <t xml:space="preserve">Ed, </t>
    </r>
    <r>
      <rPr>
        <i/>
        <u/>
        <sz val="11"/>
        <color theme="10"/>
        <rFont val="Calibri"/>
        <family val="2"/>
        <scheme val="minor"/>
      </rPr>
      <t>Building for Success: How States Can Address Charter School Facility Needs</t>
    </r>
    <r>
      <rPr>
        <sz val="11"/>
        <color rgb="FF000F5D"/>
        <rFont val="Calibri"/>
        <family val="2"/>
        <scheme val="minor"/>
      </rPr>
      <t xml:space="preserve"> (2019).</t>
    </r>
  </si>
  <si>
    <t>Sources and Assumptions</t>
  </si>
  <si>
    <r>
      <t>Charter school enrollment and number of charter schools:</t>
    </r>
    <r>
      <rPr>
        <sz val="11"/>
        <color theme="1"/>
        <rFont val="Calibri"/>
        <family val="2"/>
        <scheme val="minor"/>
      </rPr>
      <t xml:space="preserve"> Growth is conservatively estimated at 1.8 percent for students and 1.5 percent for schools per year based on charter school projections and interviews. The tool assumes a 25-percent growth boost if the state better meets facility needs, but users can change that assumption.</t>
    </r>
  </si>
  <si>
    <r>
      <t>Facility-related costs:</t>
    </r>
    <r>
      <rPr>
        <sz val="11"/>
        <color theme="1"/>
        <rFont val="Calibri"/>
        <family val="2"/>
        <scheme val="minor"/>
      </rPr>
      <t xml:space="preserve"> They are calculated at 13.6 percent of charter school expenditures. It includes the cost of rent or ownership and other facility-related costs, like utilities.</t>
    </r>
    <r>
      <rPr>
        <b/>
        <sz val="11"/>
        <color theme="1"/>
        <rFont val="Calibri"/>
        <family val="2"/>
        <scheme val="minor"/>
      </rPr>
      <t xml:space="preserve"> </t>
    </r>
    <r>
      <rPr>
        <sz val="11"/>
        <color theme="1"/>
        <rFont val="Calibri"/>
        <family val="2"/>
        <scheme val="minor"/>
      </rPr>
      <t>Expected annual inflation is 5.4 percent. This is based on a review of a five-year financial reports for a random sample of charter schools and confirmed through interviews.</t>
    </r>
  </si>
  <si>
    <r>
      <t xml:space="preserve">Facility-related local revenues: </t>
    </r>
    <r>
      <rPr>
        <sz val="11"/>
        <color theme="1"/>
        <rFont val="Calibri"/>
        <family val="2"/>
        <scheme val="minor"/>
      </rPr>
      <t>This comes from a legislative report with an increase for expected inflation.</t>
    </r>
  </si>
  <si>
    <r>
      <t>Charter schools in district facilities:</t>
    </r>
    <r>
      <rPr>
        <sz val="11"/>
        <color theme="1"/>
        <rFont val="Calibri"/>
        <family val="2"/>
        <scheme val="minor"/>
      </rPr>
      <t xml:space="preserve"> This comes from comparing the address of charter schools to the previous location of traditional public schools.</t>
    </r>
  </si>
  <si>
    <r>
      <t>Savings from state-backed facility financing:</t>
    </r>
    <r>
      <rPr>
        <sz val="11"/>
        <color theme="1"/>
        <rFont val="Calibri"/>
        <family val="2"/>
        <scheme val="minor"/>
      </rPr>
      <t xml:space="preserve"> Assumes the interest rate with state backing is five percent vs. seven percent without. The cost of purchasing a building is $21,616 per student, based recent examples. This assumption can be changed in the tool. With appropriate selection criteria, the state can keep bond defaults at below 2 percent, based on Excel</t>
    </r>
    <r>
      <rPr>
        <i/>
        <sz val="11"/>
        <color theme="1"/>
        <rFont val="Calibri"/>
        <family val="2"/>
        <scheme val="minor"/>
      </rPr>
      <t>in</t>
    </r>
    <r>
      <rPr>
        <sz val="11"/>
        <color theme="1"/>
        <rFont val="Calibri"/>
        <family val="2"/>
        <scheme val="minor"/>
      </rPr>
      <t>Ed’s review of historical data nationwide.</t>
    </r>
  </si>
  <si>
    <r>
      <t>Likely changes in state policy in 5 years:</t>
    </r>
    <r>
      <rPr>
        <sz val="11"/>
        <color theme="1"/>
        <rFont val="Calibri"/>
        <family val="2"/>
        <scheme val="minor"/>
      </rPr>
      <t xml:space="preserve"> This is based on interviews.</t>
    </r>
  </si>
  <si>
    <r>
      <t xml:space="preserve">Additional teachers an average-sized charter school cannot hire: </t>
    </r>
    <r>
      <rPr>
        <sz val="11"/>
        <color theme="1"/>
        <rFont val="Calibri"/>
        <family val="2"/>
        <scheme val="minor"/>
      </rPr>
      <t>Uses average teacher salary in Ohio of $56,562. The average size for a charter school is total statewide enrollment divided by number of charter schools.</t>
    </r>
  </si>
  <si>
    <r>
      <t>For more information about sources and assumptions, see Excel</t>
    </r>
    <r>
      <rPr>
        <i/>
        <sz val="11"/>
        <color theme="1"/>
        <rFont val="Calibri"/>
        <family val="2"/>
        <scheme val="minor"/>
      </rPr>
      <t>in</t>
    </r>
    <r>
      <rPr>
        <sz val="11"/>
        <color theme="1"/>
        <rFont val="Calibri"/>
        <family val="2"/>
        <scheme val="minor"/>
      </rPr>
      <t xml:space="preserve">Ed, </t>
    </r>
    <r>
      <rPr>
        <i/>
        <u/>
        <sz val="11"/>
        <color rgb="FF0070C0"/>
        <rFont val="Calibri"/>
        <family val="2"/>
        <scheme val="minor"/>
      </rPr>
      <t>Building for Success in Ohio 2024</t>
    </r>
    <r>
      <rPr>
        <sz val="11"/>
        <color theme="1"/>
        <rFont val="Calibri"/>
        <family val="2"/>
        <scheme val="minor"/>
      </rPr>
      <t xml:space="preserve"> (2024).</t>
    </r>
  </si>
  <si>
    <t>BUILDING FOR SUCCESS IN OHIO 2024: POLICIES THAT CAN MEET CHARTER SCHOOL FACILITY NEEDS</t>
  </si>
  <si>
    <t>The Charter School Facility Index Tool allows Ohio policymakers to determine the likely impacts of any proposed changes in state policies on the extent to which the state is meeting the facility needs of charter schools. More details about the Charter School Facility Index, and the various sources of information and assumptions, can be found in the overview tab and a companion brief.</t>
  </si>
  <si>
    <t xml:space="preserve">Step 1: Verify or adjust any assumptions that are made below. </t>
  </si>
  <si>
    <r>
      <t xml:space="preserve">The original values are shown for each of the assumptions below. You may opt to keep these values the same or adjust them. </t>
    </r>
    <r>
      <rPr>
        <b/>
        <sz val="12"/>
        <color theme="1"/>
        <rFont val="Calibri"/>
        <family val="2"/>
        <scheme val="minor"/>
      </rPr>
      <t>Note: The "Updated Value" column must have a value inserted in order for the tool to properly function.</t>
    </r>
  </si>
  <si>
    <t>Assumption</t>
  </si>
  <si>
    <t>Description</t>
  </si>
  <si>
    <t>Current Assumption</t>
  </si>
  <si>
    <t>Updated Value</t>
  </si>
  <si>
    <t>How much will charter school enrollment grow each year over the next 5 years?</t>
  </si>
  <si>
    <t>What are facility-related costs for charter schools in Ohio?</t>
  </si>
  <si>
    <t>How much does a charter school have to pay per student to purchase or build a facility?</t>
  </si>
  <si>
    <t>Based on the assumptions above, the following shows brick-and-mortar charter school enrollment and the number of charter schools currently and projected in five years. It also show the current and projected Charter School Facility Index, overall facility gap, gap per student and the number of teachers that an average-sized charter school cannot hire because its facility needs are not fully met. Related charts are to the right.</t>
  </si>
  <si>
    <t>Result</t>
  </si>
  <si>
    <t xml:space="preserve"> Current
(FY 2024)</t>
  </si>
  <si>
    <t>Projected
(FY 2029)</t>
  </si>
  <si>
    <t>Charter school enrollment</t>
  </si>
  <si>
    <t>Number of charter schools</t>
  </si>
  <si>
    <t>Charter School Facility Index</t>
  </si>
  <si>
    <t>Total facility gap</t>
  </si>
  <si>
    <t>Facility gap per student</t>
  </si>
  <si>
    <t>Teachers that an average-sized charter school cannot hire because its facility are not needs fully met</t>
  </si>
  <si>
    <t>Step 2: Add or change policies to improve the Charter School Facility Index and meet more of Ohio's charter school facility needs in five years.</t>
  </si>
  <si>
    <t>By changing and/or adding policies, Ohio policymakers can increase the Charter School Facility Index and meet more of the state's charter school facility needs in five years. The current policy values are shown below for each of the major facility policies used either by Ohio or other states. You can modify these policies and see the impact on the Index and extra cost to the state. Relevant charts are to the right and below. Note: The "Revised Policy" column must have a value inserted in order for the tool to properly function.</t>
  </si>
  <si>
    <t>Policy Change</t>
  </si>
  <si>
    <t>Current Policy</t>
  </si>
  <si>
    <t>Revised Policy</t>
  </si>
  <si>
    <t>Impact on Index
(FY 2029)</t>
  </si>
  <si>
    <t>Extra Annual Cost to State</t>
  </si>
  <si>
    <t>Fully fund the annual per-student facility allowance provided to charter schools</t>
  </si>
  <si>
    <t>Ohio is supposed to provide charter schools with $1,000 per student for facilities, but that amount was reduced to $975 because the overall budgeted amount was not enough to cover the full number of students. The state can ensure that $1,000 per student is fully funded, considering the expected growth in students attending charter schools.</t>
  </si>
  <si>
    <t>Provide charter schools with access to other state facility grants</t>
  </si>
  <si>
    <t>Provide charter schools with access to local tax revenues for facilities</t>
  </si>
  <si>
    <r>
      <t xml:space="preserve">Provide charter schools with access to under-utilized district buildings </t>
    </r>
    <r>
      <rPr>
        <b/>
        <i/>
        <sz val="12"/>
        <color theme="1"/>
        <rFont val="Calibri"/>
        <family val="2"/>
        <scheme val="minor"/>
      </rPr>
      <t>at no or low cost</t>
    </r>
  </si>
  <si>
    <t>Ohio can change its policy so that charter schools can access no- or low-cost empty or under-utilized district facilities. Currently, charter schools in district buildings are paying market rates to purchase or rent. In Colorado, for example, about 26 percent of charter schools are in district-provided facilities; in California, it is 44 percent. There is no cost to the state for increasing charter school access to surplus district buildings. A revised policy may include making sure that all under-utilized districts buildings are made available to charter schools.</t>
  </si>
  <si>
    <r>
      <t xml:space="preserve">Provide more charter schools with access to under-utilized district buildings at </t>
    </r>
    <r>
      <rPr>
        <b/>
        <i/>
        <sz val="12"/>
        <color theme="1"/>
        <rFont val="Calibri"/>
        <family val="2"/>
        <scheme val="minor"/>
      </rPr>
      <t xml:space="preserve">market </t>
    </r>
    <r>
      <rPr>
        <b/>
        <sz val="12"/>
        <color theme="1"/>
        <rFont val="Calibri"/>
        <family val="2"/>
        <scheme val="minor"/>
      </rPr>
      <t>cost</t>
    </r>
  </si>
  <si>
    <t>While no charter schools in Ohio get district buildings at no or low cost, some have purchased district buildings at or near market cost and then made major renovations. Because these charter schools own these buildings, there are savings, although not as much as when a charter school gets a building at no or low cost, as is the case in other states. Ohio can make it easier for charter schools to purchase under-utilized district buildings at or near market cost. To see the impact of this enhanced policy, put a higher percentage than currently exists. There is no cost to the state.</t>
  </si>
  <si>
    <t>Enable charter schools to access affordable financing to purchase their own facilities</t>
  </si>
  <si>
    <t>Ohio can join other states that back charter school bonds, through a guarantee or moral obligation, so that facility financing becomes more affordable. This combines with other savings from ownership in Ohio. For example, if the state backs $250 million in facility financing, it will provide significant savings to charter schools at a very low cost to the state.</t>
  </si>
  <si>
    <t>Provide no- or low-interest loans through a revolving loan fund</t>
  </si>
  <si>
    <t>Ohio can also provide low-interest loans to charter schools through a Revolving Loan Fund. With these funds secured, a charter school in Ohio can also get a matching low-interest loan from a community development financial institution (CDFI) and then borrow the remaining amount from a bank at a lower interest rate and without the fees associated with bond financing. The overall cost is substantially lower than what a charter school can otherwise get, particularly newer charter schools. Over five years, a charter school will pay back the Revolving Loan Fund and take advantage of lower-cost long-term financing available to older charter schools. As the Revolving Loan Fund is replenished, more charter schools can benefit from it.</t>
  </si>
  <si>
    <t>Total Impact</t>
  </si>
  <si>
    <t>Current (FY 2024)</t>
  </si>
  <si>
    <t>In 5 Years (FY 2029)</t>
  </si>
  <si>
    <t>Change</t>
  </si>
  <si>
    <t>Total Need In Ohio</t>
  </si>
  <si>
    <t>Number of students in charter schools statewide</t>
  </si>
  <si>
    <t xml:space="preserve"> Projected annual growth in number of students</t>
  </si>
  <si>
    <t xml:space="preserve"> Additional potential growth with facility barriers removed</t>
  </si>
  <si>
    <t xml:space="preserve"> Adjusted growth</t>
  </si>
  <si>
    <t xml:space="preserve"> User adjusted growth</t>
  </si>
  <si>
    <t>Expenditures per student in charter public schools (from sample)</t>
  </si>
  <si>
    <t xml:space="preserve"> Rental cost as percentage of expenditures</t>
  </si>
  <si>
    <t xml:space="preserve"> Other facility-related costs as percentage of expenditures</t>
  </si>
  <si>
    <t xml:space="preserve"> All facility-related costs as percentage of expenditures</t>
  </si>
  <si>
    <t xml:space="preserve"> Facility-related cost per student</t>
  </si>
  <si>
    <t xml:space="preserve"> Target facility-related cost (percentage)</t>
  </si>
  <si>
    <t xml:space="preserve"> Target facility-related cost per student</t>
  </si>
  <si>
    <t xml:space="preserve"> Annual increase in facility-related costs</t>
  </si>
  <si>
    <t>Total Charter School Facilities Need In Ohio</t>
  </si>
  <si>
    <t xml:space="preserve"> Annual growth in number of charter schools (current projection)</t>
  </si>
  <si>
    <t xml:space="preserve"> New charter schools needing facilities</t>
  </si>
  <si>
    <t>Number of students per charter school</t>
  </si>
  <si>
    <t>Cost per student of purchasing charter school facility (including renovation if needed)</t>
  </si>
  <si>
    <t xml:space="preserve"> Cost per student for a traditional public school to construct a new facility</t>
  </si>
  <si>
    <t>Expected cost of purchasing charter school facility</t>
  </si>
  <si>
    <t>Cost of purchasing charter school building</t>
  </si>
  <si>
    <t>Cost of purchasing a building for 400 students</t>
  </si>
  <si>
    <t xml:space="preserve"> Annual increase in per student facility purchase cost</t>
  </si>
  <si>
    <t>Total Financing Need</t>
  </si>
  <si>
    <t>Payment over 30 years (no interest)</t>
  </si>
  <si>
    <t>Meeting the Need In Ohio</t>
  </si>
  <si>
    <t>Funding</t>
  </si>
  <si>
    <t>Per-student facilities allowance</t>
  </si>
  <si>
    <t xml:space="preserve"> Number of charter school students getting facility allowance (if all students get full amount)</t>
  </si>
  <si>
    <t xml:space="preserve"> Allowance per charter school student</t>
  </si>
  <si>
    <t xml:space="preserve"> Total allowance used for facility-related costs</t>
  </si>
  <si>
    <t xml:space="preserve"> Percent of need met</t>
  </si>
  <si>
    <t>Grants for purchasing or renovating facilities</t>
  </si>
  <si>
    <t xml:space="preserve"> Community School Classroom Facilities grants (total)</t>
  </si>
  <si>
    <t xml:space="preserve"> Rent avoided</t>
  </si>
  <si>
    <t xml:space="preserve"> Other state funding for school facilities (annual)</t>
  </si>
  <si>
    <t xml:space="preserve"> Charter schools as a percentage of total public school enrollment</t>
  </si>
  <si>
    <t xml:space="preserve"> Percent of charter school access to state facility funding</t>
  </si>
  <si>
    <t xml:space="preserve"> Charter school access to state facility funding (annual)</t>
  </si>
  <si>
    <t xml:space="preserve"> Ownership cost per student (regular interest rate)</t>
  </si>
  <si>
    <t xml:space="preserve"> # students funded</t>
  </si>
  <si>
    <t xml:space="preserve"> Cost of rent per student</t>
  </si>
  <si>
    <t xml:space="preserve"> Total rent avoided</t>
  </si>
  <si>
    <t xml:space="preserve"> Total grants for charter school facilities</t>
  </si>
  <si>
    <t>Charter schools getting local taxes for facilities</t>
  </si>
  <si>
    <t>Local facility-related taxes for traditional public schools in Ohio (annual)</t>
  </si>
  <si>
    <t xml:space="preserve"> Traditional public school enrollment (ADM)</t>
  </si>
  <si>
    <t xml:space="preserve"> Annual growth in enrollment</t>
  </si>
  <si>
    <t xml:space="preserve"> Charter school enrollment (ADM)</t>
  </si>
  <si>
    <t xml:space="preserve"> Percentage of local taxes received by charter schools</t>
  </si>
  <si>
    <t xml:space="preserve"> Local facilities taxes provided to charter schools (annual)</t>
  </si>
  <si>
    <t>Subtotal</t>
  </si>
  <si>
    <t>Funding Subtotal</t>
  </si>
  <si>
    <t>Facilities</t>
  </si>
  <si>
    <t>Charter schools get no- or low-cost access to district facilities</t>
  </si>
  <si>
    <t xml:space="preserve"> Number of charter schools getting access to no- or low-cost facilities</t>
  </si>
  <si>
    <t xml:space="preserve"> Number of charter schools leaving because of growth (total over 5 years)</t>
  </si>
  <si>
    <t xml:space="preserve"> Number of additional charter schools accessing no- or low-cost facilities (annual)</t>
  </si>
  <si>
    <t xml:space="preserve"> Percentage of charter schools in district facilities</t>
  </si>
  <si>
    <t xml:space="preserve"> Fee charged to charter schools (per school)</t>
  </si>
  <si>
    <t xml:space="preserve"> Other facility-related costs for charter schools</t>
  </si>
  <si>
    <t xml:space="preserve"> Amount of need met</t>
  </si>
  <si>
    <t>Charter schools can buy district building at market rate</t>
  </si>
  <si>
    <t xml:space="preserve"> Number of charter schools buying district buildings at market rate</t>
  </si>
  <si>
    <t xml:space="preserve"> Percentage of charter schools in district-provided facilities</t>
  </si>
  <si>
    <t xml:space="preserve"> Savings from ownership (per student)</t>
  </si>
  <si>
    <t xml:space="preserve"> Total savings from ownership</t>
  </si>
  <si>
    <t>Facilities Subtotal</t>
  </si>
  <si>
    <t>Financing</t>
  </si>
  <si>
    <t>State guarantees and other supports to reduce cost of facility financing</t>
  </si>
  <si>
    <t xml:space="preserve"> Amount of financing accessed at lower interest rate &amp; fees</t>
  </si>
  <si>
    <t xml:space="preserve"> Number of charter schools financed</t>
  </si>
  <si>
    <t xml:space="preserve"> Number of students benefiting from more affordable financing</t>
  </si>
  <si>
    <t xml:space="preserve"> Interest rate and fees with state support</t>
  </si>
  <si>
    <t xml:space="preserve"> Financing per student with state support</t>
  </si>
  <si>
    <t xml:space="preserve"> Savings from ownership (without state support)</t>
  </si>
  <si>
    <t xml:space="preserve"> Savings from more affordable financing</t>
  </si>
  <si>
    <t xml:space="preserve"> Total savings per student</t>
  </si>
  <si>
    <t xml:space="preserve"> Total savings</t>
  </si>
  <si>
    <t>No or low-interest loans (revolving loan fund)</t>
  </si>
  <si>
    <t xml:space="preserve"> Typical loan amount</t>
  </si>
  <si>
    <t xml:space="preserve"> CDFI loan amount</t>
  </si>
  <si>
    <t xml:space="preserve"> Annual savings per loan</t>
  </si>
  <si>
    <t xml:space="preserve"> Monthly payments per student</t>
  </si>
  <si>
    <t xml:space="preserve"> Normal payments per student</t>
  </si>
  <si>
    <t xml:space="preserve"> Savings per student</t>
  </si>
  <si>
    <t>Financing Total</t>
  </si>
  <si>
    <t>Total Need Met In Ohio</t>
  </si>
  <si>
    <t>Facility Gap Funding Amount</t>
  </si>
  <si>
    <t>Per Student Facility Funding Gap</t>
  </si>
  <si>
    <t>Lost Teachers</t>
  </si>
  <si>
    <t>Moral Obligation Program</t>
  </si>
  <si>
    <t>Interest Rate</t>
  </si>
  <si>
    <t>Revolving Loan Fund</t>
  </si>
  <si>
    <t>Interest Rate (Revolving Loan Fund)</t>
  </si>
  <si>
    <t>Interest Rate (CFDI Loan)</t>
  </si>
  <si>
    <t>Interest Rate (Remainder)--no fees</t>
  </si>
  <si>
    <t>Current
Gap</t>
  </si>
  <si>
    <t>Current
Policy</t>
  </si>
  <si>
    <t>Revised
Policy</t>
  </si>
  <si>
    <t>Total Need Met</t>
  </si>
  <si>
    <t>Total Need Unmet</t>
  </si>
  <si>
    <t>Number of Additional Teachers Hired</t>
  </si>
  <si>
    <t>Cost per teacher</t>
  </si>
  <si>
    <t>Gap Per Student</t>
  </si>
  <si>
    <t>Operating</t>
  </si>
  <si>
    <t>Facility</t>
  </si>
  <si>
    <t>Total Gap</t>
  </si>
  <si>
    <t xml:space="preserve"> Facility</t>
  </si>
  <si>
    <t xml:space="preserve"> Operating</t>
  </si>
  <si>
    <t xml:space="preserve"> Total</t>
  </si>
  <si>
    <t>Number of teachers</t>
  </si>
  <si>
    <t>Gap per teacher</t>
  </si>
  <si>
    <t>Raise per teacher</t>
  </si>
  <si>
    <t>2015-16</t>
  </si>
  <si>
    <t>2016-17</t>
  </si>
  <si>
    <t>2017-18</t>
  </si>
  <si>
    <t>2018-19</t>
  </si>
  <si>
    <t>2019-20</t>
  </si>
  <si>
    <t>2020-21</t>
  </si>
  <si>
    <t>2021-22</t>
  </si>
  <si>
    <t>2022-23</t>
  </si>
  <si>
    <t>2023-24</t>
  </si>
  <si>
    <t>Ave.</t>
  </si>
  <si>
    <t>School</t>
  </si>
  <si>
    <t>Property Services</t>
  </si>
  <si>
    <t>Utilities</t>
  </si>
  <si>
    <t>Principal+ Int.</t>
  </si>
  <si>
    <t>Total</t>
  </si>
  <si>
    <t>Pension</t>
  </si>
  <si>
    <t>Overall</t>
  </si>
  <si>
    <t>Percent</t>
  </si>
  <si>
    <t>Per Student</t>
  </si>
  <si>
    <t>#</t>
  </si>
  <si>
    <t>County</t>
  </si>
  <si>
    <t>Own?</t>
  </si>
  <si>
    <t>Totral Per Student</t>
  </si>
  <si>
    <t>Expenditure Report</t>
  </si>
  <si>
    <t>Difference</t>
  </si>
  <si>
    <t>Enrollment</t>
  </si>
  <si>
    <t>Facility Per Studen</t>
  </si>
  <si>
    <t>Total Per Student</t>
  </si>
  <si>
    <t>Facility Costs 19</t>
  </si>
  <si>
    <t>FTE FY 2019</t>
  </si>
  <si>
    <t>Total FY 2019</t>
  </si>
  <si>
    <t>%</t>
  </si>
  <si>
    <t>Rent</t>
  </si>
  <si>
    <t>Other</t>
  </si>
  <si>
    <t>Principal</t>
  </si>
  <si>
    <t>Interest</t>
  </si>
  <si>
    <t>Facility Costs 23</t>
  </si>
  <si>
    <t>Cap Outlay</t>
  </si>
  <si>
    <t>FTE FY 23</t>
  </si>
  <si>
    <t>Subtotal FY 23</t>
  </si>
  <si>
    <t>Total FY 23</t>
  </si>
  <si>
    <t>% FY23</t>
  </si>
  <si>
    <t>% FY 20</t>
  </si>
  <si>
    <t>Rent/Own</t>
  </si>
  <si>
    <t>Non-Rent+</t>
  </si>
  <si>
    <t>Facility Costs 20</t>
  </si>
  <si>
    <t>FTE FY 20</t>
  </si>
  <si>
    <t>Total FY 2020</t>
  </si>
  <si>
    <t>FTE FY 2025</t>
  </si>
  <si>
    <t>Annual Growth</t>
  </si>
  <si>
    <t>Notes</t>
  </si>
  <si>
    <t># Students</t>
  </si>
  <si>
    <t>% Change</t>
  </si>
  <si>
    <t>AchievePoint Career Academy - Cincinnati</t>
  </si>
  <si>
    <t>Hamilton</t>
  </si>
  <si>
    <t>Use utilities from previous year</t>
  </si>
  <si>
    <t>Alliance Academy of Cincinnati</t>
  </si>
  <si>
    <t>Bridge Gate Community School</t>
  </si>
  <si>
    <t>Franklin</t>
  </si>
  <si>
    <t># Schools</t>
  </si>
  <si>
    <t>Citizens Academy Southeast</t>
  </si>
  <si>
    <t>Cuyahoga</t>
  </si>
  <si>
    <t>Cleveland Arts and Social Sciences Academy</t>
  </si>
  <si>
    <t>Columbus Bilingual Academy-North</t>
  </si>
  <si>
    <t>Capital outlay; other debt</t>
  </si>
  <si>
    <t>Big principal repayments on construction loan; contracts with Accel Schools; lease</t>
  </si>
  <si>
    <t>New Schools</t>
  </si>
  <si>
    <t>Columbus Preparatory Academy</t>
  </si>
  <si>
    <t>Constellation Schools: Lorain Community Elementary</t>
  </si>
  <si>
    <t>Lorain</t>
  </si>
  <si>
    <t>own</t>
  </si>
  <si>
    <t>No rent</t>
  </si>
  <si>
    <t>Bought building from district; US Bank mortage; sublease to middle school for $72,000/year</t>
  </si>
  <si>
    <t>Constellation Schools: Puritas Community Elementary</t>
  </si>
  <si>
    <t>Balloon payment FY25</t>
  </si>
  <si>
    <t>Bought diocese building; IFF financing</t>
  </si>
  <si>
    <t>Headcount</t>
  </si>
  <si>
    <t>Constellation Schools: Westpark Community Middle</t>
  </si>
  <si>
    <t>Bond financed but pays lease; utilities/other too low</t>
  </si>
  <si>
    <t>DECA PREP</t>
  </si>
  <si>
    <t>Montgomery</t>
  </si>
  <si>
    <t>Debt payments are low</t>
  </si>
  <si>
    <t>Enrolled ADM</t>
  </si>
  <si>
    <t>Eagle Learning Center</t>
  </si>
  <si>
    <t>Lucas</t>
  </si>
  <si>
    <t>Conversion school</t>
  </si>
  <si>
    <t>Eastland Preparatory Academy</t>
  </si>
  <si>
    <t>Euclid Preparatory School</t>
  </si>
  <si>
    <t>Focus Learning Academy of Northern Columbus</t>
  </si>
  <si>
    <t>Big upcoming lease increase</t>
  </si>
  <si>
    <t>Frederick Douglass High School</t>
  </si>
  <si>
    <t>No FY 2024; loan</t>
  </si>
  <si>
    <t>Green Inspiration Academy</t>
  </si>
  <si>
    <t>Much lower rent; sister school?</t>
  </si>
  <si>
    <t>Heir Force Community School</t>
  </si>
  <si>
    <t>Allen</t>
  </si>
  <si>
    <t>Traditional facility costs</t>
  </si>
  <si>
    <t>Horizon Science Academy Columbus</t>
  </si>
  <si>
    <t>Loan payments divided by 5 years</t>
  </si>
  <si>
    <t>Horizon Science Academy Lorain</t>
  </si>
  <si>
    <t>No debt but capital outlay; inconsistent rent</t>
  </si>
  <si>
    <t>Local Funding</t>
  </si>
  <si>
    <t>Horizon Science Academy-Cleveland Middle School</t>
  </si>
  <si>
    <t>High school bought building but no debt!</t>
  </si>
  <si>
    <t>Bond Debt</t>
  </si>
  <si>
    <t>Imagine Akron Academy</t>
  </si>
  <si>
    <t>Summit</t>
  </si>
  <si>
    <t>Utilities included in rent</t>
  </si>
  <si>
    <t>No utilities</t>
  </si>
  <si>
    <t>Permanent Improvements</t>
  </si>
  <si>
    <t>Intergenerational School, The</t>
  </si>
  <si>
    <t>Lakeshore Intergenerational School</t>
  </si>
  <si>
    <t>Main Preparatory Academy</t>
  </si>
  <si>
    <t>Lease from Diocese</t>
  </si>
  <si>
    <t>Millenium Community School</t>
  </si>
  <si>
    <t>Mortgages</t>
  </si>
  <si>
    <t>Classroom Facilities Assistance</t>
  </si>
  <si>
    <t>Monroe Preparatory Academy</t>
  </si>
  <si>
    <t>Exceptional Needs</t>
  </si>
  <si>
    <t>North Dayton School Of Science &amp; Discovery</t>
  </si>
  <si>
    <t>STEM Facilities Assistance</t>
  </si>
  <si>
    <t>Orchard Park Academy</t>
  </si>
  <si>
    <t>Regent High School</t>
  </si>
  <si>
    <t>Road to Success Academy</t>
  </si>
  <si>
    <t>New school cost per student</t>
  </si>
  <si>
    <t>Springfield Preparatory and Fitness Academy</t>
  </si>
  <si>
    <t>Youngstown Academy of Excellence</t>
  </si>
  <si>
    <t>Bought school #1</t>
  </si>
  <si>
    <t>Average</t>
  </si>
  <si>
    <t>Bought school #2</t>
  </si>
  <si>
    <t>Own</t>
  </si>
  <si>
    <t>not other facility-related cost</t>
  </si>
  <si>
    <t>average</t>
  </si>
  <si>
    <t>Lease</t>
  </si>
  <si>
    <t>Inflation</t>
  </si>
  <si>
    <t>School #1</t>
  </si>
  <si>
    <t>School #2</t>
  </si>
  <si>
    <t>Size under</t>
  </si>
  <si>
    <t xml:space="preserve">Size over </t>
  </si>
  <si>
    <t>Overall average</t>
  </si>
  <si>
    <t>Cornerstone</t>
  </si>
  <si>
    <t>St. Mary's</t>
  </si>
  <si>
    <t>Bella Academy of Excellence</t>
  </si>
  <si>
    <t xml:space="preserve">Cost </t>
  </si>
  <si>
    <t>Students</t>
  </si>
  <si>
    <t>Cost/Student</t>
  </si>
  <si>
    <t>Broadway Academy</t>
  </si>
  <si>
    <t>Shows $0 for rent which is most likely inaccurate</t>
  </si>
  <si>
    <t>Minerva Park Middle School</t>
  </si>
  <si>
    <t>Citizens Academy</t>
  </si>
  <si>
    <t>owner%</t>
  </si>
  <si>
    <t>BT</t>
  </si>
  <si>
    <t>Doug: school pays 2x and Friends of Breakthrough redistributes (FOB purchased buildings using New Market Tax Credits)</t>
  </si>
  <si>
    <t>Berlin Middle School</t>
  </si>
  <si>
    <t>Citizens Leadership Academy</t>
  </si>
  <si>
    <t>Citizens Leadership Academy East</t>
  </si>
  <si>
    <t>Cleveland Academy for Scholarship Technology and Leadership</t>
  </si>
  <si>
    <t>Not including debt payments from past-due rent</t>
  </si>
  <si>
    <t>Cleveland College Preparatory School</t>
  </si>
  <si>
    <t xml:space="preserve">lease Diosese building </t>
  </si>
  <si>
    <t>Village Preparatory School</t>
  </si>
  <si>
    <t>Village Preparatory School Willard</t>
  </si>
  <si>
    <t>Cleveland Average</t>
  </si>
  <si>
    <t>KIPP Columbus</t>
  </si>
  <si>
    <t>KIPP Foundation owns building; $1 lease; former golf course</t>
  </si>
  <si>
    <t>United Preparatory Academy-3</t>
  </si>
  <si>
    <t>Owns building; OFCC grant</t>
  </si>
  <si>
    <t>Columbus Collegiate Academy-1</t>
  </si>
  <si>
    <t>Same location as United Preparatory Academy East</t>
  </si>
  <si>
    <t>Columbus Collegiate Academy West-2</t>
  </si>
  <si>
    <t>School owns building; Community School Facilities Grant; no debt; where did rest of purchase $ come from?</t>
  </si>
  <si>
    <t>United Preparatory Academy East-4</t>
  </si>
  <si>
    <t>Same location as Columbus Collegiate Academy; interest-only loan and then have pay full principal in FY 2023</t>
  </si>
  <si>
    <t>Toledo School for the Arts</t>
  </si>
  <si>
    <t>Issued bond</t>
  </si>
  <si>
    <t xml:space="preserve">Charter School  </t>
  </si>
  <si>
    <t>Location</t>
  </si>
  <si>
    <t>Rent?</t>
  </si>
  <si>
    <t>Term in Audit/Notes</t>
  </si>
  <si>
    <t>% w Int.</t>
  </si>
  <si>
    <t>% w Princ</t>
  </si>
  <si>
    <t>ADM</t>
  </si>
  <si>
    <t>Per ADM</t>
  </si>
  <si>
    <t>Total w Princi</t>
  </si>
  <si>
    <t>Fac. W. Principal</t>
  </si>
  <si>
    <t>Ace Preparatory</t>
  </si>
  <si>
    <t>Marion</t>
  </si>
  <si>
    <t>Yes</t>
  </si>
  <si>
    <t>Occupancy</t>
  </si>
  <si>
    <t>Allegiant Preparatory</t>
  </si>
  <si>
    <t>Alternatives in Education</t>
  </si>
  <si>
    <t>Closed</t>
  </si>
  <si>
    <t>Facilities--in kind contribution for rent--juvenile justice--closed</t>
  </si>
  <si>
    <t>Anderson Preparatory Academy</t>
  </si>
  <si>
    <t>Madison</t>
  </si>
  <si>
    <t>Occupancy--mortgage</t>
  </si>
  <si>
    <t>Andrew J. Brown</t>
  </si>
  <si>
    <t>Aspire Charter Academy</t>
  </si>
  <si>
    <t>Lake</t>
  </si>
  <si>
    <t>Avondale Meadows Academy</t>
  </si>
  <si>
    <t>Occupancy--bonds--principal payments unclear</t>
  </si>
  <si>
    <t>Bloomington Project School</t>
  </si>
  <si>
    <t>Monroe</t>
  </si>
  <si>
    <t>Mixed</t>
  </si>
  <si>
    <t>Occupancy--lease plus notes</t>
  </si>
  <si>
    <t>Canaan Community Academy</t>
  </si>
  <si>
    <t>Jefferson</t>
  </si>
  <si>
    <t>Free</t>
  </si>
  <si>
    <t>Occupancy--lease for $1--resp. for utilities &amp; maintenance</t>
  </si>
  <si>
    <t>Charter School of the Dunes</t>
  </si>
  <si>
    <t>Occupancy--own building</t>
  </si>
  <si>
    <t>City Circle Preparatory</t>
  </si>
  <si>
    <t>Community Montessori</t>
  </si>
  <si>
    <t>Floyd</t>
  </si>
  <si>
    <t>Damar</t>
  </si>
  <si>
    <t>Discovery Charter School</t>
  </si>
  <si>
    <t>Porter</t>
  </si>
  <si>
    <t>Occupancy--big interest payment--IFA bond financing</t>
  </si>
  <si>
    <t>Dr. Robert H. Faulkner</t>
  </si>
  <si>
    <t>Gramt</t>
  </si>
  <si>
    <t>Occupancy--school closed</t>
  </si>
  <si>
    <t>Dugger Union Community School</t>
  </si>
  <si>
    <t>Sullivan</t>
  </si>
  <si>
    <t>East Chicago Urban Enterprise Academy</t>
  </si>
  <si>
    <t>Occupancy--note</t>
  </si>
  <si>
    <t>Gary Middle College</t>
  </si>
  <si>
    <t>Adult</t>
  </si>
  <si>
    <t>Buildings &amp; Grounds--lease is mentioned</t>
  </si>
  <si>
    <t>Gary Middle College West</t>
  </si>
  <si>
    <t>Global Preparatory Academy</t>
  </si>
  <si>
    <t>Occupancy is in-kind</t>
  </si>
  <si>
    <t>Goodwill Leads Excel Academy</t>
  </si>
  <si>
    <t>Rent + property taxes--multiple schools; some owned; 3rd party</t>
  </si>
  <si>
    <t>Indianapolis Classical Schools (Herron)</t>
  </si>
  <si>
    <t>Rent &amp; facilities--2 schools? Various bonds</t>
  </si>
  <si>
    <t>Higher Institute of Arts &amp; Technology</t>
  </si>
  <si>
    <t>Hoosier Academy</t>
  </si>
  <si>
    <t>Virtual</t>
  </si>
  <si>
    <t>Occupancy--2 schools--now virtual</t>
  </si>
  <si>
    <t>Hope Academy</t>
  </si>
  <si>
    <t>Rent--tiny</t>
  </si>
  <si>
    <t>Indiana Agriculture &amp; Technology School</t>
  </si>
  <si>
    <t>Indiana Math and Science Academy - West</t>
  </si>
  <si>
    <t>Occupancy--advancement note</t>
  </si>
  <si>
    <t>Indiana Math and Science Academy - North</t>
  </si>
  <si>
    <t>Indiana Virtual School</t>
  </si>
  <si>
    <t>Indiana Academy of Excellence</t>
  </si>
  <si>
    <t>Indianapolis Metropolitan High School</t>
  </si>
  <si>
    <t>Rent including in kind--Goodwill bond</t>
  </si>
  <si>
    <t>Inspire Academy</t>
  </si>
  <si>
    <t>Delaware</t>
  </si>
  <si>
    <t>Irvington Community Schools</t>
  </si>
  <si>
    <t>Occupancy--$1 lease with in kind contribution; but prior bond</t>
  </si>
  <si>
    <t>Joshua Academy</t>
  </si>
  <si>
    <t>Vanderburgh</t>
  </si>
  <si>
    <t>Problem</t>
  </si>
  <si>
    <t>No facility expense?</t>
  </si>
  <si>
    <t>KIPP Indianapolis</t>
  </si>
  <si>
    <t>Facilities--in kind contribution for rental</t>
  </si>
  <si>
    <t>Matchbook Learning Schools of Indiana</t>
  </si>
  <si>
    <t>Getting existing building</t>
  </si>
  <si>
    <t>Mays Community Academy</t>
  </si>
  <si>
    <t>Rush</t>
  </si>
  <si>
    <t>Occupancy--why so low? Short-term financing</t>
  </si>
  <si>
    <t>Montessori Academy at Geist</t>
  </si>
  <si>
    <t>Occupancy--built $7 million--moved late 2019</t>
  </si>
  <si>
    <t>Options - Carmel</t>
  </si>
  <si>
    <t>Options - Nobelsville</t>
  </si>
  <si>
    <t xml:space="preserve">Occupancy--at Hope Source's Facility </t>
  </si>
  <si>
    <t>Otwell Miller Academy</t>
  </si>
  <si>
    <t>Pike</t>
  </si>
  <si>
    <t>Occupancy--rent from Friends a related party</t>
  </si>
  <si>
    <t>pilotED Schools</t>
  </si>
  <si>
    <t>Occupancy--capital lease</t>
  </si>
  <si>
    <t>Purdue Polytechnic High School</t>
  </si>
  <si>
    <t>Occupancy--min. lease in mall</t>
  </si>
  <si>
    <t>Renaissance Academy</t>
  </si>
  <si>
    <t>LaPorte</t>
  </si>
  <si>
    <t>Occupany--lease &amp; mortgage</t>
  </si>
  <si>
    <t>Rock Creek Community Academy</t>
  </si>
  <si>
    <t>Clark</t>
  </si>
  <si>
    <t>Occupancy--building facility with IFA bonds w increasing payments</t>
  </si>
  <si>
    <t>Rural Community Schools</t>
  </si>
  <si>
    <t>Occupancy--lease @ $1,000 per month</t>
  </si>
  <si>
    <t>Southeast Neighborhood School of Excellence</t>
  </si>
  <si>
    <t>Seven Oaks Classical School</t>
  </si>
  <si>
    <t>Occupancy--IFF backed bond</t>
  </si>
  <si>
    <t>Signature School</t>
  </si>
  <si>
    <t>Rent of building &amp; equipment--only $150,000 lease?</t>
  </si>
  <si>
    <t>Smith Academy for Excellence</t>
  </si>
  <si>
    <t>Thea Bowman Leadership Academcy</t>
  </si>
  <si>
    <t>Occupancy--bond</t>
  </si>
  <si>
    <t>Tinley Accelerated Schools</t>
  </si>
  <si>
    <t>Complex</t>
  </si>
  <si>
    <t>Occupancy &amp; maintenance--multiple campuses; own &amp; lease back</t>
  </si>
  <si>
    <t>Urban Act Academy</t>
  </si>
  <si>
    <t>In kind occupancy</t>
  </si>
  <si>
    <t>Overall Average</t>
  </si>
  <si>
    <t>Average for charter schools that rent</t>
  </si>
  <si>
    <t>Average for charter schools that do not rent</t>
  </si>
  <si>
    <t>Average for rent in Marion</t>
  </si>
  <si>
    <t>Average for rent not in Marion</t>
  </si>
  <si>
    <t>Hammond Urban Academy</t>
  </si>
  <si>
    <t>Occupany</t>
  </si>
  <si>
    <t>Steel City Academy</t>
  </si>
  <si>
    <t>Occupany--why so low?</t>
  </si>
  <si>
    <t>Timothy L. Johnson</t>
  </si>
  <si>
    <t>Lighthouse Academies of Indiana</t>
  </si>
  <si>
    <t>Indiana Schools of Excellence</t>
  </si>
  <si>
    <t>Saint Joseph</t>
  </si>
  <si>
    <t>The Phalen Leadership Academy</t>
  </si>
  <si>
    <t>Rent and facilities--why so low?</t>
  </si>
  <si>
    <t>Ignite Achievement Academy</t>
  </si>
  <si>
    <t>Occupancy--in-kind</t>
  </si>
  <si>
    <t>Thurgood Marshall Leadership Academy</t>
  </si>
  <si>
    <t>Occupany--$91,000 lease</t>
  </si>
  <si>
    <t>Paramount School of Excellence</t>
  </si>
  <si>
    <t>Neighborhood Charter Network</t>
  </si>
  <si>
    <t>Occupany--in kind</t>
  </si>
  <si>
    <t>California</t>
  </si>
  <si>
    <t>State</t>
  </si>
  <si>
    <t>Current Schools</t>
  </si>
  <si>
    <t>Per School</t>
  </si>
  <si>
    <t>Exp. %</t>
  </si>
  <si>
    <t>Expan.</t>
  </si>
  <si>
    <t>Growth %</t>
  </si>
  <si>
    <t>Current Students</t>
  </si>
  <si>
    <t># Schools (5 Yrs.)</t>
  </si>
  <si>
    <t>Per Pupil $</t>
  </si>
  <si>
    <t>% Facilities</t>
  </si>
  <si>
    <t>Fac. Per Pupil</t>
  </si>
  <si>
    <t>Total Current Need</t>
  </si>
  <si>
    <t>% Current</t>
  </si>
  <si>
    <t>Future # Schools</t>
  </si>
  <si>
    <t>Future # Students</t>
  </si>
  <si>
    <t>Future Amount</t>
  </si>
  <si>
    <t>% Future</t>
  </si>
  <si>
    <t># Current Schools</t>
  </si>
  <si>
    <t>Financing Per School</t>
  </si>
  <si>
    <t>Total Existing Need</t>
  </si>
  <si>
    <t># Future Schools</t>
  </si>
  <si>
    <t>Total Future Financing</t>
  </si>
  <si>
    <t>Existing Need</t>
  </si>
  <si>
    <t>In 5 Years</t>
  </si>
  <si>
    <t xml:space="preserve"> Allotment</t>
  </si>
  <si>
    <r>
      <t xml:space="preserve"> </t>
    </r>
    <r>
      <rPr>
        <sz val="11"/>
        <color theme="1"/>
        <rFont val="Calibri"/>
        <family val="2"/>
        <scheme val="minor"/>
      </rPr>
      <t>Grants</t>
    </r>
  </si>
  <si>
    <t xml:space="preserve"> Facilities</t>
  </si>
  <si>
    <t xml:space="preserve"> Financing</t>
  </si>
  <si>
    <t>Colorado</t>
  </si>
  <si>
    <t>Florida</t>
  </si>
  <si>
    <t>Example</t>
  </si>
  <si>
    <t>Existing Need Met</t>
  </si>
  <si>
    <t>Projected</t>
  </si>
  <si>
    <t>Per Pupil Amount</t>
  </si>
  <si>
    <t>BEST grants</t>
  </si>
  <si>
    <t>Indiana</t>
  </si>
  <si>
    <t>Need Met in 5 Years</t>
  </si>
  <si>
    <r>
      <t xml:space="preserve">The original values are shown for each of the policy buckets identified. You may opt to keep these values the same or adjust them. </t>
    </r>
    <r>
      <rPr>
        <b/>
        <sz val="10"/>
        <color theme="1"/>
        <rFont val="Calibri"/>
        <family val="2"/>
        <scheme val="minor"/>
      </rPr>
      <t>Note: The "Updated Value" column must have a value inserted in order for the tool to properly function.</t>
    </r>
  </si>
  <si>
    <t>Assumptions</t>
  </si>
  <si>
    <t>Original Value</t>
  </si>
  <si>
    <t>Impact</t>
  </si>
  <si>
    <t>Include adult high schools?</t>
  </si>
  <si>
    <t>Matthew fills in</t>
  </si>
  <si>
    <t>Additional potential growth with facility barriers removed</t>
  </si>
  <si>
    <t>Cost per student of purchasing charter school facility</t>
  </si>
  <si>
    <t>Allowance per charter school student</t>
  </si>
  <si>
    <t>Grants Provided</t>
  </si>
  <si>
    <t>Charter schools as a percentage of total public school enrollment</t>
  </si>
  <si>
    <t>Percentage of levies received by charter schools</t>
  </si>
  <si>
    <t>Number of charter schools leaving because of growth</t>
  </si>
  <si>
    <t>Number of additional charter schools accessing (annual)</t>
  </si>
  <si>
    <t>Amount of financing accessed at lower interest rate &amp; fees</t>
  </si>
  <si>
    <t xml:space="preserve">Cost per teacher - </t>
  </si>
  <si>
    <t>How many teachers could this have meant?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</si>
</sst>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
    <numFmt numFmtId="165" formatCode="0.0%"/>
    <numFmt numFmtId="166" formatCode="#,##0.0000"/>
    <numFmt numFmtId="167" formatCode="#,##0.000"/>
    <numFmt numFmtId="168" formatCode="&quot;$&quot;#,##0.00"/>
  </numFmts>
  <fonts count="26">
    <font>
      <sz val="11"/>
      <color theme="1"/>
      <name val="Calibri"/>
      <family val="2"/>
      <scheme val="minor"/>
    </font>
    <font>
      <b/>
      <sz val="11"/>
      <color theme="1"/>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u/>
      <sz val="16"/>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1"/>
      <color rgb="FF000F5D"/>
      <name val="Calibri"/>
      <family val="2"/>
      <scheme val="minor"/>
    </font>
    <font>
      <i/>
      <u/>
      <sz val="11"/>
      <color theme="10"/>
      <name val="Calibri"/>
      <family val="2"/>
      <scheme val="minor"/>
    </font>
    <font>
      <b/>
      <sz val="28"/>
      <color theme="1"/>
      <name val="Calibri"/>
      <family val="2"/>
      <scheme val="minor"/>
    </font>
    <font>
      <sz val="10"/>
      <name val="Arial"/>
      <family val="2"/>
    </font>
    <font>
      <b/>
      <sz val="12"/>
      <color rgb="FF000000"/>
      <name val="Calibri"/>
      <family val="2"/>
      <scheme val="minor"/>
    </font>
    <font>
      <b/>
      <i/>
      <sz val="12"/>
      <color theme="1"/>
      <name val="Calibri"/>
      <family val="2"/>
      <scheme val="minor"/>
    </font>
    <font>
      <sz val="12"/>
      <color theme="0"/>
      <name val="Calibri"/>
      <family val="2"/>
      <scheme val="minor"/>
    </font>
    <font>
      <b/>
      <sz val="18"/>
      <color theme="1"/>
      <name val="Calibri"/>
      <family val="2"/>
      <scheme val="minor"/>
    </font>
    <font>
      <sz val="16"/>
      <color theme="1"/>
      <name val="Calibri"/>
      <family val="2"/>
      <scheme val="minor"/>
    </font>
    <font>
      <i/>
      <u/>
      <sz val="11"/>
      <color rgb="FF0070C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theme="0"/>
      </top>
      <bottom style="thin">
        <color auto="1"/>
      </bottom>
      <diagonal/>
    </border>
  </borders>
  <cellStyleXfs count="5">
    <xf numFmtId="0" fontId="0" fillId="0" borderId="0"/>
    <xf numFmtId="44" fontId="6" fillId="0" borderId="0" applyFon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xf numFmtId="0" fontId="19" fillId="0" borderId="0"/>
  </cellStyleXfs>
  <cellXfs count="245">
    <xf numFmtId="0" fontId="0" fillId="0" borderId="0" xfId="0"/>
    <xf numFmtId="3" fontId="0" fillId="0" borderId="0" xfId="0" applyNumberFormat="1"/>
    <xf numFmtId="164" fontId="0" fillId="0" borderId="0" xfId="0" applyNumberFormat="1"/>
    <xf numFmtId="0" fontId="1" fillId="0" borderId="0" xfId="0" applyFont="1"/>
    <xf numFmtId="9" fontId="0" fillId="0" borderId="0" xfId="0" applyNumberFormat="1"/>
    <xf numFmtId="165" fontId="0" fillId="0" borderId="0" xfId="0" applyNumberFormat="1"/>
    <xf numFmtId="0" fontId="1" fillId="0" borderId="0" xfId="0" applyFont="1" applyAlignment="1">
      <alignment wrapText="1"/>
    </xf>
    <xf numFmtId="0" fontId="1" fillId="0" borderId="0" xfId="0" applyFont="1" applyAlignment="1">
      <alignment horizontal="left" wrapText="1"/>
    </xf>
    <xf numFmtId="3" fontId="0" fillId="0" borderId="0" xfId="0" applyNumberFormat="1" applyAlignment="1">
      <alignment vertical="top"/>
    </xf>
    <xf numFmtId="0" fontId="1" fillId="0" borderId="1" xfId="0" applyFont="1" applyBorder="1"/>
    <xf numFmtId="0" fontId="1" fillId="0" borderId="1" xfId="0" applyFont="1" applyBorder="1" applyAlignment="1">
      <alignment wrapText="1"/>
    </xf>
    <xf numFmtId="0" fontId="0" fillId="0" borderId="1" xfId="0" applyBorder="1"/>
    <xf numFmtId="165" fontId="0" fillId="0" borderId="1" xfId="0" applyNumberFormat="1" applyBorder="1"/>
    <xf numFmtId="1" fontId="0" fillId="0" borderId="0" xfId="0" applyNumberFormat="1"/>
    <xf numFmtId="166" fontId="0" fillId="0" borderId="0" xfId="0" applyNumberFormat="1"/>
    <xf numFmtId="167" fontId="0" fillId="0" borderId="0" xfId="0" applyNumberFormat="1"/>
    <xf numFmtId="4" fontId="0" fillId="0" borderId="0" xfId="0" applyNumberFormat="1"/>
    <xf numFmtId="168" fontId="0" fillId="0" borderId="0" xfId="0" applyNumberFormat="1"/>
    <xf numFmtId="2" fontId="0" fillId="0" borderId="0" xfId="0" applyNumberFormat="1"/>
    <xf numFmtId="4" fontId="0" fillId="0" borderId="0" xfId="0" applyNumberFormat="1" applyAlignment="1">
      <alignment vertical="top"/>
    </xf>
    <xf numFmtId="3" fontId="0" fillId="0" borderId="1" xfId="0" applyNumberFormat="1" applyBorder="1"/>
    <xf numFmtId="164" fontId="0" fillId="0" borderId="1" xfId="0" applyNumberFormat="1" applyBorder="1"/>
    <xf numFmtId="1" fontId="0" fillId="0" borderId="1" xfId="0" applyNumberFormat="1" applyBorder="1"/>
    <xf numFmtId="0" fontId="1" fillId="2" borderId="1" xfId="0" applyFont="1" applyFill="1" applyBorder="1"/>
    <xf numFmtId="0" fontId="0" fillId="2" borderId="1" xfId="0" applyFill="1" applyBorder="1"/>
    <xf numFmtId="164" fontId="0" fillId="2" borderId="1" xfId="0" applyNumberFormat="1" applyFill="1" applyBorder="1"/>
    <xf numFmtId="165" fontId="1" fillId="2" borderId="1" xfId="0" applyNumberFormat="1" applyFont="1" applyFill="1" applyBorder="1"/>
    <xf numFmtId="165" fontId="5" fillId="2" borderId="1" xfId="0" applyNumberFormat="1" applyFont="1" applyFill="1" applyBorder="1"/>
    <xf numFmtId="0" fontId="1" fillId="2" borderId="0" xfId="0" applyFont="1" applyFill="1"/>
    <xf numFmtId="164" fontId="1" fillId="2" borderId="1" xfId="0" applyNumberFormat="1" applyFont="1" applyFill="1" applyBorder="1"/>
    <xf numFmtId="164" fontId="1" fillId="0" borderId="1" xfId="0" applyNumberFormat="1" applyFont="1" applyBorder="1"/>
    <xf numFmtId="165" fontId="1" fillId="0" borderId="1" xfId="0" applyNumberFormat="1" applyFont="1" applyBorder="1"/>
    <xf numFmtId="3" fontId="1" fillId="2" borderId="1" xfId="0" applyNumberFormat="1" applyFont="1" applyFill="1" applyBorder="1"/>
    <xf numFmtId="9" fontId="0" fillId="0" borderId="1" xfId="0" applyNumberFormat="1" applyBorder="1"/>
    <xf numFmtId="0" fontId="0" fillId="0" borderId="2" xfId="0" applyBorder="1"/>
    <xf numFmtId="165" fontId="0" fillId="0" borderId="2" xfId="0" applyNumberFormat="1" applyBorder="1"/>
    <xf numFmtId="164" fontId="0" fillId="0" borderId="2" xfId="0" applyNumberFormat="1" applyBorder="1"/>
    <xf numFmtId="3" fontId="1" fillId="0" borderId="1" xfId="0" applyNumberFormat="1" applyFont="1" applyBorder="1"/>
    <xf numFmtId="3" fontId="0" fillId="0" borderId="2" xfId="0" applyNumberFormat="1" applyBorder="1"/>
    <xf numFmtId="168" fontId="0" fillId="0" borderId="1" xfId="0" applyNumberFormat="1" applyBorder="1"/>
    <xf numFmtId="0" fontId="0" fillId="3" borderId="1" xfId="0" applyFill="1" applyBorder="1"/>
    <xf numFmtId="165" fontId="0" fillId="3" borderId="1" xfId="0" applyNumberFormat="1" applyFill="1" applyBorder="1"/>
    <xf numFmtId="165" fontId="0" fillId="4" borderId="1" xfId="0" applyNumberFormat="1" applyFill="1" applyBorder="1"/>
    <xf numFmtId="164" fontId="0" fillId="4" borderId="1" xfId="0" applyNumberFormat="1" applyFill="1" applyBorder="1"/>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0" fontId="5" fillId="2" borderId="1" xfId="0" applyFont="1" applyFill="1" applyBorder="1" applyAlignment="1">
      <alignment wrapText="1"/>
    </xf>
    <xf numFmtId="0" fontId="4" fillId="0" borderId="1" xfId="0" applyFont="1" applyBorder="1" applyAlignment="1">
      <alignment wrapText="1"/>
    </xf>
    <xf numFmtId="0" fontId="3" fillId="0" borderId="1" xfId="0" applyFont="1" applyBorder="1" applyAlignment="1">
      <alignment vertical="center" wrapText="1"/>
    </xf>
    <xf numFmtId="0" fontId="2"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165" fontId="0" fillId="5" borderId="1" xfId="0" applyNumberFormat="1" applyFill="1" applyBorder="1"/>
    <xf numFmtId="164" fontId="0" fillId="5" borderId="1" xfId="0" applyNumberFormat="1" applyFill="1" applyBorder="1"/>
    <xf numFmtId="165" fontId="1" fillId="0" borderId="0" xfId="0" applyNumberFormat="1" applyFont="1"/>
    <xf numFmtId="165" fontId="1" fillId="0" borderId="1" xfId="0" applyNumberFormat="1" applyFont="1" applyBorder="1" applyAlignment="1">
      <alignment wrapText="1"/>
    </xf>
    <xf numFmtId="165" fontId="1" fillId="0" borderId="1" xfId="0" applyNumberFormat="1" applyFont="1" applyBorder="1" applyAlignment="1">
      <alignment horizontal="left" vertical="top" wrapText="1"/>
    </xf>
    <xf numFmtId="165" fontId="5" fillId="0" borderId="1" xfId="0" applyNumberFormat="1" applyFont="1" applyBorder="1"/>
    <xf numFmtId="0" fontId="1" fillId="2" borderId="2" xfId="0" applyFont="1" applyFill="1" applyBorder="1" applyAlignment="1">
      <alignment wrapText="1"/>
    </xf>
    <xf numFmtId="165" fontId="1" fillId="2" borderId="2" xfId="0" applyNumberFormat="1" applyFont="1" applyFill="1" applyBorder="1"/>
    <xf numFmtId="0" fontId="1" fillId="2" borderId="2" xfId="0" applyFont="1" applyFill="1" applyBorder="1"/>
    <xf numFmtId="165" fontId="1" fillId="0" borderId="2" xfId="0" applyNumberFormat="1" applyFont="1" applyBorder="1"/>
    <xf numFmtId="0" fontId="0" fillId="6" borderId="3" xfId="0" applyFill="1" applyBorder="1"/>
    <xf numFmtId="0" fontId="0" fillId="6" borderId="6" xfId="0" applyFill="1" applyBorder="1"/>
    <xf numFmtId="0" fontId="0" fillId="6" borderId="0" xfId="0" applyFill="1"/>
    <xf numFmtId="0" fontId="0" fillId="6" borderId="7" xfId="0" applyFill="1" applyBorder="1"/>
    <xf numFmtId="0" fontId="7" fillId="6" borderId="1" xfId="0" applyFont="1" applyFill="1" applyBorder="1" applyAlignment="1">
      <alignment vertical="top" wrapText="1"/>
    </xf>
    <xf numFmtId="0" fontId="7" fillId="6" borderId="1" xfId="0" applyFont="1" applyFill="1" applyBorder="1" applyAlignment="1">
      <alignment vertical="top"/>
    </xf>
    <xf numFmtId="0" fontId="8" fillId="6" borderId="1" xfId="0" applyFont="1" applyFill="1" applyBorder="1" applyAlignment="1">
      <alignment vertical="top" wrapText="1"/>
    </xf>
    <xf numFmtId="0" fontId="0" fillId="6" borderId="8" xfId="0" applyFill="1" applyBorder="1"/>
    <xf numFmtId="0" fontId="0" fillId="6" borderId="9" xfId="0" applyFill="1" applyBorder="1"/>
    <xf numFmtId="0" fontId="0" fillId="6" borderId="10" xfId="0" applyFill="1" applyBorder="1"/>
    <xf numFmtId="9" fontId="0" fillId="0" borderId="1" xfId="2" applyFont="1" applyBorder="1"/>
    <xf numFmtId="0" fontId="9" fillId="6" borderId="4" xfId="0" applyFont="1" applyFill="1" applyBorder="1"/>
    <xf numFmtId="0" fontId="7" fillId="6" borderId="4" xfId="0" applyFont="1" applyFill="1" applyBorder="1"/>
    <xf numFmtId="0" fontId="7" fillId="6" borderId="5" xfId="0" applyFont="1" applyFill="1" applyBorder="1"/>
    <xf numFmtId="0" fontId="7" fillId="6" borderId="0" xfId="0" applyFont="1" applyFill="1"/>
    <xf numFmtId="0" fontId="7" fillId="6" borderId="7" xfId="0" applyFont="1" applyFill="1" applyBorder="1"/>
    <xf numFmtId="0" fontId="7" fillId="6" borderId="1" xfId="0" applyFont="1" applyFill="1" applyBorder="1"/>
    <xf numFmtId="9" fontId="7" fillId="6" borderId="1" xfId="0" applyNumberFormat="1" applyFont="1" applyFill="1" applyBorder="1"/>
    <xf numFmtId="6" fontId="7" fillId="6" borderId="1" xfId="0" applyNumberFormat="1" applyFont="1" applyFill="1" applyBorder="1"/>
    <xf numFmtId="0" fontId="1" fillId="6" borderId="0" xfId="0" applyFont="1" applyFill="1"/>
    <xf numFmtId="0" fontId="7" fillId="6" borderId="0" xfId="0" applyFont="1" applyFill="1" applyAlignment="1">
      <alignment vertical="top" wrapText="1"/>
    </xf>
    <xf numFmtId="6" fontId="0" fillId="6" borderId="0" xfId="0" applyNumberFormat="1" applyFill="1"/>
    <xf numFmtId="0" fontId="7" fillId="6" borderId="0" xfId="0" applyFont="1" applyFill="1" applyAlignment="1">
      <alignment vertical="top"/>
    </xf>
    <xf numFmtId="44" fontId="0" fillId="6" borderId="0" xfId="1" applyFont="1" applyFill="1" applyBorder="1"/>
    <xf numFmtId="0" fontId="8" fillId="6" borderId="0" xfId="0" applyFont="1" applyFill="1" applyAlignment="1">
      <alignment vertical="top" wrapText="1"/>
    </xf>
    <xf numFmtId="9" fontId="0" fillId="6" borderId="0" xfId="0" applyNumberFormat="1" applyFill="1"/>
    <xf numFmtId="0" fontId="7" fillId="7" borderId="1" xfId="0" applyFont="1" applyFill="1" applyBorder="1"/>
    <xf numFmtId="9" fontId="7" fillId="7" borderId="1" xfId="0" applyNumberFormat="1" applyFont="1" applyFill="1" applyBorder="1"/>
    <xf numFmtId="6" fontId="7" fillId="7" borderId="1" xfId="0" applyNumberFormat="1" applyFont="1" applyFill="1" applyBorder="1"/>
    <xf numFmtId="6" fontId="7" fillId="7" borderId="1" xfId="1" applyNumberFormat="1" applyFont="1" applyFill="1" applyBorder="1"/>
    <xf numFmtId="0" fontId="9" fillId="8" borderId="1" xfId="0" applyFont="1" applyFill="1" applyBorder="1"/>
    <xf numFmtId="0" fontId="2" fillId="0" borderId="1" xfId="0" applyFont="1" applyBorder="1" applyAlignment="1">
      <alignment horizontal="left" vertical="top" wrapText="1"/>
    </xf>
    <xf numFmtId="0" fontId="7" fillId="0" borderId="1" xfId="0" applyFont="1" applyBorder="1"/>
    <xf numFmtId="9" fontId="7" fillId="0" borderId="1" xfId="0" applyNumberFormat="1" applyFont="1" applyBorder="1"/>
    <xf numFmtId="6" fontId="7" fillId="0" borderId="1" xfId="0" applyNumberFormat="1" applyFont="1" applyBorder="1"/>
    <xf numFmtId="6" fontId="7" fillId="0" borderId="1" xfId="1" applyNumberFormat="1" applyFont="1" applyFill="1" applyBorder="1"/>
    <xf numFmtId="0" fontId="11" fillId="6" borderId="0" xfId="0" applyFont="1" applyFill="1"/>
    <xf numFmtId="6" fontId="11" fillId="6" borderId="1" xfId="0" applyNumberFormat="1" applyFont="1" applyFill="1" applyBorder="1" applyAlignment="1">
      <alignment horizontal="center" vertical="center"/>
    </xf>
    <xf numFmtId="0" fontId="11" fillId="6" borderId="1" xfId="0" applyFont="1" applyFill="1" applyBorder="1" applyAlignment="1">
      <alignment horizontal="left" vertical="center" wrapText="1"/>
    </xf>
    <xf numFmtId="165" fontId="11" fillId="0" borderId="1" xfId="0" applyNumberFormat="1" applyFont="1" applyBorder="1" applyAlignment="1">
      <alignment horizontal="center" vertical="center"/>
    </xf>
    <xf numFmtId="0" fontId="1" fillId="2" borderId="0" xfId="0" applyFont="1" applyFill="1" applyAlignment="1">
      <alignment wrapText="1"/>
    </xf>
    <xf numFmtId="165" fontId="1" fillId="2" borderId="0" xfId="0" applyNumberFormat="1" applyFont="1" applyFill="1"/>
    <xf numFmtId="3" fontId="1" fillId="2" borderId="0" xfId="0" applyNumberFormat="1" applyFont="1" applyFill="1"/>
    <xf numFmtId="165" fontId="1" fillId="2" borderId="2" xfId="2" applyNumberFormat="1" applyFont="1" applyFill="1" applyBorder="1"/>
    <xf numFmtId="165" fontId="11" fillId="6" borderId="2" xfId="0" applyNumberFormat="1" applyFont="1" applyFill="1" applyBorder="1" applyAlignment="1">
      <alignment horizontal="center" vertical="center"/>
    </xf>
    <xf numFmtId="165" fontId="11" fillId="0" borderId="2" xfId="0" applyNumberFormat="1" applyFont="1" applyBorder="1" applyAlignment="1">
      <alignment horizontal="center" vertical="center"/>
    </xf>
    <xf numFmtId="165" fontId="11" fillId="6" borderId="1" xfId="0" applyNumberFormat="1" applyFont="1" applyFill="1" applyBorder="1" applyAlignment="1">
      <alignment horizontal="center" vertical="center"/>
    </xf>
    <xf numFmtId="3" fontId="11" fillId="6"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xf>
    <xf numFmtId="165" fontId="11" fillId="6" borderId="1" xfId="0" applyNumberFormat="1" applyFont="1" applyFill="1" applyBorder="1" applyAlignment="1">
      <alignment horizontal="center" vertical="center" wrapText="1"/>
    </xf>
    <xf numFmtId="164" fontId="11" fillId="0" borderId="2" xfId="0" applyNumberFormat="1" applyFont="1" applyBorder="1" applyAlignment="1">
      <alignment horizontal="center" vertical="center"/>
    </xf>
    <xf numFmtId="164" fontId="11" fillId="6" borderId="1" xfId="0" applyNumberFormat="1" applyFont="1" applyFill="1" applyBorder="1" applyAlignment="1">
      <alignment horizontal="center" vertical="center" wrapText="1"/>
    </xf>
    <xf numFmtId="1" fontId="11" fillId="6" borderId="1" xfId="0" applyNumberFormat="1" applyFont="1" applyFill="1" applyBorder="1" applyAlignment="1">
      <alignment horizontal="center" vertical="center" wrapText="1"/>
    </xf>
    <xf numFmtId="3" fontId="11" fillId="6" borderId="11" xfId="0" applyNumberFormat="1" applyFont="1" applyFill="1" applyBorder="1" applyAlignment="1">
      <alignment horizontal="center" vertical="center" wrapText="1"/>
    </xf>
    <xf numFmtId="165" fontId="11" fillId="6" borderId="11" xfId="0" applyNumberFormat="1" applyFont="1" applyFill="1" applyBorder="1" applyAlignment="1">
      <alignment horizontal="center" vertical="center" wrapText="1"/>
    </xf>
    <xf numFmtId="164" fontId="11" fillId="6" borderId="11" xfId="0" applyNumberFormat="1" applyFont="1" applyFill="1" applyBorder="1" applyAlignment="1">
      <alignment horizontal="center" vertical="center" wrapText="1"/>
    </xf>
    <xf numFmtId="1" fontId="11" fillId="6" borderId="11" xfId="0" applyNumberFormat="1" applyFont="1" applyFill="1" applyBorder="1" applyAlignment="1">
      <alignment horizontal="center" vertical="center" wrapText="1"/>
    </xf>
    <xf numFmtId="0" fontId="0" fillId="0" borderId="0" xfId="0" applyAlignment="1">
      <alignment horizontal="center"/>
    </xf>
    <xf numFmtId="0" fontId="10" fillId="0" borderId="6" xfId="0" applyFont="1" applyBorder="1" applyAlignment="1">
      <alignment horizontal="center" vertical="center"/>
    </xf>
    <xf numFmtId="0" fontId="15" fillId="0" borderId="0" xfId="3" applyAlignment="1">
      <alignment horizontal="center" vertical="center"/>
    </xf>
    <xf numFmtId="0" fontId="12" fillId="0" borderId="9" xfId="0" applyFont="1" applyBorder="1" applyAlignment="1">
      <alignment horizontal="center"/>
    </xf>
    <xf numFmtId="0" fontId="0" fillId="0" borderId="9" xfId="0" applyBorder="1" applyAlignment="1">
      <alignment horizontal="center"/>
    </xf>
    <xf numFmtId="0" fontId="11" fillId="6" borderId="6" xfId="0" applyFont="1" applyFill="1" applyBorder="1"/>
    <xf numFmtId="0" fontId="11" fillId="0" borderId="6" xfId="0" applyFont="1" applyBorder="1"/>
    <xf numFmtId="9" fontId="11" fillId="0" borderId="6" xfId="0" applyNumberFormat="1" applyFont="1" applyBorder="1"/>
    <xf numFmtId="6" fontId="11" fillId="0" borderId="6" xfId="0" applyNumberFormat="1" applyFont="1" applyBorder="1"/>
    <xf numFmtId="0" fontId="0" fillId="0" borderId="6" xfId="0" applyBorder="1"/>
    <xf numFmtId="164" fontId="0" fillId="2" borderId="0" xfId="0" applyNumberFormat="1" applyFill="1"/>
    <xf numFmtId="0" fontId="1" fillId="0" borderId="12" xfId="0" applyFont="1" applyBorder="1"/>
    <xf numFmtId="165" fontId="0" fillId="0" borderId="1" xfId="0" applyNumberFormat="1" applyBorder="1" applyAlignment="1">
      <alignment wrapText="1"/>
    </xf>
    <xf numFmtId="165" fontId="6" fillId="0" borderId="1" xfId="2" applyNumberFormat="1" applyFont="1" applyFill="1" applyBorder="1"/>
    <xf numFmtId="165" fontId="2" fillId="0" borderId="1" xfId="0" applyNumberFormat="1" applyFont="1" applyBorder="1" applyAlignment="1">
      <alignment vertical="center" wrapText="1"/>
    </xf>
    <xf numFmtId="165" fontId="0" fillId="0" borderId="1" xfId="0" applyNumberFormat="1" applyBorder="1" applyAlignment="1">
      <alignment vertical="center" wrapText="1"/>
    </xf>
    <xf numFmtId="164" fontId="0" fillId="0" borderId="1" xfId="0" applyNumberFormat="1" applyBorder="1" applyAlignment="1">
      <alignment wrapText="1"/>
    </xf>
    <xf numFmtId="3" fontId="0" fillId="0" borderId="1" xfId="0" applyNumberFormat="1" applyBorder="1" applyAlignment="1">
      <alignment wrapText="1"/>
    </xf>
    <xf numFmtId="0" fontId="18" fillId="6" borderId="0" xfId="0" applyFont="1" applyFill="1"/>
    <xf numFmtId="1" fontId="0" fillId="9" borderId="1" xfId="0" applyNumberFormat="1" applyFill="1" applyBorder="1"/>
    <xf numFmtId="165" fontId="0" fillId="0" borderId="1" xfId="0" applyNumberFormat="1" applyBorder="1" applyProtection="1">
      <protection locked="0"/>
    </xf>
    <xf numFmtId="0" fontId="0" fillId="9" borderId="0" xfId="0" applyFill="1"/>
    <xf numFmtId="164" fontId="0" fillId="0" borderId="0" xfId="0" applyNumberFormat="1" applyProtection="1">
      <protection locked="0"/>
    </xf>
    <xf numFmtId="164" fontId="1" fillId="0" borderId="0" xfId="0" applyNumberFormat="1" applyFont="1"/>
    <xf numFmtId="164" fontId="0" fillId="5" borderId="0" xfId="0" applyNumberFormat="1" applyFill="1"/>
    <xf numFmtId="0" fontId="0" fillId="2" borderId="0" xfId="0" applyFill="1"/>
    <xf numFmtId="164" fontId="1" fillId="2" borderId="0" xfId="0" applyNumberFormat="1" applyFont="1" applyFill="1"/>
    <xf numFmtId="3" fontId="0" fillId="2" borderId="0" xfId="0" applyNumberFormat="1" applyFill="1"/>
    <xf numFmtId="0" fontId="10" fillId="11" borderId="1" xfId="0" applyFont="1" applyFill="1" applyBorder="1" applyAlignment="1">
      <alignment horizontal="center" vertical="center"/>
    </xf>
    <xf numFmtId="0" fontId="10" fillId="11" borderId="1" xfId="0" applyFont="1" applyFill="1" applyBorder="1" applyAlignment="1">
      <alignment horizontal="center" vertical="center" wrapText="1"/>
    </xf>
    <xf numFmtId="0" fontId="23" fillId="11" borderId="1" xfId="0" applyFont="1" applyFill="1" applyBorder="1" applyAlignment="1">
      <alignment horizontal="left" vertical="center" wrapText="1"/>
    </xf>
    <xf numFmtId="6" fontId="23" fillId="11" borderId="1" xfId="0" applyNumberFormat="1" applyFont="1" applyFill="1" applyBorder="1" applyAlignment="1">
      <alignment horizontal="center" vertical="center"/>
    </xf>
    <xf numFmtId="165" fontId="23" fillId="11" borderId="1" xfId="0" applyNumberFormat="1" applyFont="1" applyFill="1" applyBorder="1" applyAlignment="1">
      <alignment horizontal="center" vertical="center"/>
    </xf>
    <xf numFmtId="164" fontId="23" fillId="11" borderId="1" xfId="0" applyNumberFormat="1" applyFont="1" applyFill="1" applyBorder="1" applyAlignment="1">
      <alignment horizontal="center" vertical="center"/>
    </xf>
    <xf numFmtId="165" fontId="10" fillId="12" borderId="1" xfId="0" applyNumberFormat="1" applyFont="1" applyFill="1" applyBorder="1" applyAlignment="1">
      <alignment horizontal="center" vertical="center"/>
    </xf>
    <xf numFmtId="6" fontId="10" fillId="12" borderId="1" xfId="0" applyNumberFormat="1" applyFont="1" applyFill="1" applyBorder="1" applyAlignment="1">
      <alignment horizontal="center" vertical="center"/>
    </xf>
    <xf numFmtId="0" fontId="24" fillId="0" borderId="0" xfId="0" applyFont="1"/>
    <xf numFmtId="6" fontId="22" fillId="10" borderId="14" xfId="0" applyNumberFormat="1" applyFont="1" applyFill="1" applyBorder="1" applyAlignment="1">
      <alignment horizontal="center" vertical="center"/>
    </xf>
    <xf numFmtId="6" fontId="22" fillId="10" borderId="15" xfId="0" applyNumberFormat="1" applyFont="1" applyFill="1" applyBorder="1" applyAlignment="1">
      <alignment horizontal="center" vertical="center"/>
    </xf>
    <xf numFmtId="165" fontId="22" fillId="10" borderId="15" xfId="0" applyNumberFormat="1" applyFont="1" applyFill="1" applyBorder="1" applyAlignment="1">
      <alignment horizontal="center" vertical="center"/>
    </xf>
    <xf numFmtId="6" fontId="22" fillId="10" borderId="16" xfId="0" applyNumberFormat="1" applyFont="1" applyFill="1" applyBorder="1" applyAlignment="1">
      <alignment horizontal="center" vertical="center"/>
    </xf>
    <xf numFmtId="0" fontId="10" fillId="6" borderId="1" xfId="0" applyFont="1" applyFill="1" applyBorder="1" applyAlignment="1">
      <alignment horizontal="left" vertical="top" wrapText="1"/>
    </xf>
    <xf numFmtId="0" fontId="20" fillId="6" borderId="1" xfId="0" applyFont="1" applyFill="1" applyBorder="1" applyAlignment="1">
      <alignment horizontal="left" vertical="top" wrapText="1"/>
    </xf>
    <xf numFmtId="3" fontId="0" fillId="9" borderId="1" xfId="0" applyNumberFormat="1" applyFill="1" applyBorder="1"/>
    <xf numFmtId="10" fontId="0" fillId="0" borderId="1" xfId="2" applyNumberFormat="1" applyFont="1" applyBorder="1"/>
    <xf numFmtId="164" fontId="0" fillId="9" borderId="1" xfId="0" applyNumberFormat="1" applyFill="1" applyBorder="1"/>
    <xf numFmtId="165" fontId="0" fillId="9" borderId="0" xfId="0" applyNumberFormat="1" applyFill="1"/>
    <xf numFmtId="165" fontId="0" fillId="9" borderId="1" xfId="0" applyNumberFormat="1" applyFill="1" applyBorder="1"/>
    <xf numFmtId="165" fontId="0" fillId="0" borderId="1" xfId="0" applyNumberFormat="1" applyBorder="1" applyAlignment="1">
      <alignment horizontal="right"/>
    </xf>
    <xf numFmtId="164" fontId="1" fillId="0" borderId="0" xfId="0" applyNumberFormat="1" applyFont="1" applyAlignment="1">
      <alignment horizontal="right"/>
    </xf>
    <xf numFmtId="164" fontId="1" fillId="0" borderId="1" xfId="0" applyNumberFormat="1" applyFont="1" applyBorder="1" applyAlignment="1">
      <alignment horizontal="right"/>
    </xf>
    <xf numFmtId="1" fontId="1" fillId="0" borderId="0" xfId="0" applyNumberFormat="1" applyFont="1"/>
    <xf numFmtId="3" fontId="1" fillId="0" borderId="0" xfId="0" applyNumberFormat="1" applyFont="1"/>
    <xf numFmtId="164" fontId="0" fillId="0" borderId="0" xfId="2" applyNumberFormat="1" applyFont="1"/>
    <xf numFmtId="0" fontId="0" fillId="9" borderId="1" xfId="0" applyFill="1" applyBorder="1"/>
    <xf numFmtId="0" fontId="4" fillId="0" borderId="0" xfId="0" applyFont="1" applyAlignment="1">
      <alignment wrapText="1"/>
    </xf>
    <xf numFmtId="10" fontId="0" fillId="0" borderId="1" xfId="0" applyNumberFormat="1" applyBorder="1"/>
    <xf numFmtId="10" fontId="0" fillId="5" borderId="1" xfId="0" applyNumberFormat="1" applyFill="1" applyBorder="1"/>
    <xf numFmtId="10" fontId="11" fillId="6" borderId="1" xfId="0" applyNumberFormat="1" applyFont="1" applyFill="1" applyBorder="1" applyAlignment="1">
      <alignment horizontal="center" vertical="center"/>
    </xf>
    <xf numFmtId="10" fontId="10" fillId="12" borderId="1" xfId="0" applyNumberFormat="1" applyFont="1" applyFill="1" applyBorder="1" applyAlignment="1">
      <alignment horizontal="center" vertical="center"/>
    </xf>
    <xf numFmtId="0" fontId="1" fillId="6" borderId="6" xfId="0" applyFont="1" applyFill="1" applyBorder="1" applyAlignment="1">
      <alignment horizontal="left" vertical="center" wrapText="1"/>
    </xf>
    <xf numFmtId="0" fontId="1" fillId="6" borderId="0" xfId="0" applyFont="1" applyFill="1" applyAlignment="1">
      <alignment horizontal="left" vertical="center" wrapText="1"/>
    </xf>
    <xf numFmtId="0" fontId="1" fillId="6" borderId="7" xfId="0" applyFont="1" applyFill="1" applyBorder="1" applyAlignment="1">
      <alignment horizontal="left" vertical="center" wrapText="1"/>
    </xf>
    <xf numFmtId="0" fontId="0" fillId="0" borderId="8" xfId="3" applyFont="1" applyFill="1" applyBorder="1" applyAlignment="1">
      <alignment horizontal="left" vertical="center" wrapText="1"/>
    </xf>
    <xf numFmtId="0" fontId="6" fillId="0" borderId="9" xfId="3" applyFont="1" applyFill="1" applyBorder="1" applyAlignment="1">
      <alignment horizontal="left" vertical="center" wrapText="1"/>
    </xf>
    <xf numFmtId="0" fontId="6" fillId="0" borderId="10" xfId="3" applyFont="1" applyFill="1" applyBorder="1" applyAlignment="1">
      <alignment horizontal="left" vertical="center" wrapText="1"/>
    </xf>
    <xf numFmtId="0" fontId="12" fillId="0" borderId="9" xfId="0" applyFont="1" applyBorder="1" applyAlignment="1">
      <alignment horizontal="center"/>
    </xf>
    <xf numFmtId="0" fontId="0" fillId="0" borderId="9" xfId="0" applyBorder="1" applyAlignment="1">
      <alignment horizontal="center"/>
    </xf>
    <xf numFmtId="0" fontId="1"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6" borderId="0" xfId="0" applyFill="1" applyAlignment="1">
      <alignment horizontal="left" vertical="center" wrapText="1"/>
    </xf>
    <xf numFmtId="0" fontId="0" fillId="6" borderId="7" xfId="0" applyFill="1" applyBorder="1" applyAlignment="1">
      <alignment horizontal="left" vertical="center" wrapText="1"/>
    </xf>
    <xf numFmtId="0" fontId="1" fillId="11" borderId="11" xfId="0" applyFont="1" applyFill="1" applyBorder="1" applyAlignment="1">
      <alignment horizontal="center" vertical="center"/>
    </xf>
    <xf numFmtId="0" fontId="1" fillId="11" borderId="13"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3" xfId="0" applyFont="1" applyFill="1" applyBorder="1" applyAlignment="1">
      <alignment horizontal="center" vertical="center"/>
    </xf>
    <xf numFmtId="0" fontId="1" fillId="11" borderId="4" xfId="0" applyFont="1" applyFill="1" applyBorder="1" applyAlignment="1">
      <alignment horizontal="center" vertical="center"/>
    </xf>
    <xf numFmtId="0" fontId="1" fillId="11" borderId="5" xfId="0" applyFont="1" applyFill="1" applyBorder="1" applyAlignment="1">
      <alignment horizontal="center" vertical="center"/>
    </xf>
    <xf numFmtId="0" fontId="11" fillId="0" borderId="11" xfId="0" applyFont="1" applyBorder="1" applyAlignment="1">
      <alignment horizontal="left" vertical="top" wrapText="1"/>
    </xf>
    <xf numFmtId="0" fontId="0" fillId="0" borderId="12" xfId="0" applyBorder="1" applyAlignment="1">
      <alignment horizontal="left" vertical="top" wrapText="1"/>
    </xf>
    <xf numFmtId="0" fontId="23" fillId="11" borderId="11" xfId="0" applyFont="1" applyFill="1" applyBorder="1" applyAlignment="1">
      <alignment horizontal="left" vertical="center" wrapText="1"/>
    </xf>
    <xf numFmtId="0" fontId="23" fillId="11" borderId="12" xfId="0" applyFont="1" applyFill="1" applyBorder="1" applyAlignment="1">
      <alignment horizontal="left" vertical="center" wrapText="1"/>
    </xf>
    <xf numFmtId="0" fontId="13" fillId="6" borderId="4" xfId="0" applyFont="1" applyFill="1" applyBorder="1" applyAlignment="1">
      <alignment horizontal="left"/>
    </xf>
    <xf numFmtId="0" fontId="10" fillId="11" borderId="11" xfId="0" applyFont="1" applyFill="1" applyBorder="1" applyAlignment="1">
      <alignment horizontal="center" vertical="center"/>
    </xf>
    <xf numFmtId="0" fontId="0" fillId="11" borderId="12" xfId="0" applyFill="1" applyBorder="1" applyAlignment="1">
      <alignment horizontal="center" vertical="center"/>
    </xf>
    <xf numFmtId="0" fontId="11" fillId="6" borderId="11" xfId="0" applyFont="1" applyFill="1" applyBorder="1" applyAlignment="1">
      <alignment horizontal="left" vertical="top" wrapText="1"/>
    </xf>
    <xf numFmtId="0" fontId="11" fillId="6" borderId="0" xfId="0" applyFont="1" applyFill="1" applyAlignment="1">
      <alignment horizontal="left" vertical="center" wrapText="1"/>
    </xf>
    <xf numFmtId="0" fontId="11" fillId="6" borderId="9" xfId="0" applyFont="1" applyFill="1" applyBorder="1" applyAlignment="1">
      <alignment horizontal="left" vertical="center" wrapText="1"/>
    </xf>
    <xf numFmtId="0" fontId="13" fillId="6" borderId="4" xfId="0" applyFont="1" applyFill="1" applyBorder="1" applyAlignment="1">
      <alignment horizontal="left" vertical="top"/>
    </xf>
    <xf numFmtId="0" fontId="11" fillId="6" borderId="11" xfId="0" applyFont="1" applyFill="1" applyBorder="1" applyAlignment="1">
      <alignment horizontal="left" vertical="center" wrapText="1"/>
    </xf>
    <xf numFmtId="0" fontId="0" fillId="0" borderId="12" xfId="0" applyBorder="1" applyAlignment="1">
      <alignment horizontal="left" vertical="center" wrapText="1"/>
    </xf>
    <xf numFmtId="0" fontId="11" fillId="0" borderId="11" xfId="0" applyFont="1" applyBorder="1" applyAlignment="1">
      <alignment horizontal="left" vertical="center" wrapText="1"/>
    </xf>
    <xf numFmtId="3" fontId="11" fillId="0" borderId="6" xfId="0" applyNumberFormat="1" applyFont="1" applyBorder="1" applyAlignment="1">
      <alignment horizontal="center" vertical="center"/>
    </xf>
    <xf numFmtId="0" fontId="0" fillId="0" borderId="7" xfId="0" applyBorder="1" applyAlignment="1">
      <alignment horizontal="center" vertical="center"/>
    </xf>
    <xf numFmtId="0" fontId="11" fillId="6" borderId="4" xfId="0" applyFont="1" applyFill="1" applyBorder="1" applyAlignment="1">
      <alignment horizontal="left" vertical="center" wrapText="1"/>
    </xf>
    <xf numFmtId="0" fontId="10" fillId="0" borderId="6" xfId="0" applyFont="1" applyBorder="1" applyAlignment="1">
      <alignment horizontal="center" vertical="center"/>
    </xf>
    <xf numFmtId="0" fontId="12" fillId="0" borderId="0" xfId="0" applyFont="1" applyAlignment="1">
      <alignment horizontal="center"/>
    </xf>
    <xf numFmtId="0" fontId="24" fillId="0" borderId="0" xfId="0" applyFont="1" applyAlignment="1">
      <alignment horizontal="center"/>
    </xf>
    <xf numFmtId="0" fontId="11" fillId="0" borderId="0" xfId="0" applyFont="1" applyAlignment="1">
      <alignment horizontal="left" vertical="center" wrapText="1"/>
    </xf>
    <xf numFmtId="0" fontId="11" fillId="0" borderId="12" xfId="0" applyFont="1" applyBorder="1" applyAlignment="1">
      <alignment horizontal="left" vertical="center" wrapText="1"/>
    </xf>
    <xf numFmtId="0" fontId="11" fillId="6" borderId="12" xfId="0" applyFont="1" applyFill="1" applyBorder="1" applyAlignment="1">
      <alignment horizontal="left" vertical="top" wrapText="1"/>
    </xf>
    <xf numFmtId="165" fontId="11" fillId="0" borderId="6" xfId="0" applyNumberFormat="1" applyFont="1" applyBorder="1" applyAlignment="1">
      <alignment horizontal="center" vertical="center"/>
    </xf>
    <xf numFmtId="164" fontId="11" fillId="0" borderId="6" xfId="0" applyNumberFormat="1" applyFont="1" applyBorder="1" applyAlignment="1">
      <alignment horizontal="center" vertical="center"/>
    </xf>
    <xf numFmtId="1" fontId="11" fillId="0" borderId="6" xfId="0" applyNumberFormat="1" applyFont="1" applyBorder="1" applyAlignment="1">
      <alignment horizontal="center" vertical="center"/>
    </xf>
    <xf numFmtId="0" fontId="1" fillId="0" borderId="1" xfId="0" applyFont="1" applyBorder="1" applyAlignment="1">
      <alignment horizontal="center"/>
    </xf>
    <xf numFmtId="0" fontId="0" fillId="0" borderId="0" xfId="0" applyAlignment="1">
      <alignment vertical="top" wrapText="1"/>
    </xf>
    <xf numFmtId="0" fontId="7" fillId="6" borderId="0" xfId="0" applyFont="1" applyFill="1" applyAlignment="1">
      <alignment horizontal="left" vertical="center" wrapText="1"/>
    </xf>
    <xf numFmtId="0" fontId="15" fillId="0" borderId="8" xfId="3" applyBorder="1" applyAlignment="1"/>
    <xf numFmtId="0" fontId="15" fillId="0" borderId="9" xfId="3" applyBorder="1" applyAlignment="1"/>
    <xf numFmtId="0" fontId="15" fillId="0" borderId="10" xfId="3" applyBorder="1" applyAlignment="1"/>
    <xf numFmtId="0" fontId="24" fillId="0" borderId="0" xfId="0" applyFont="1" applyAlignment="1"/>
    <xf numFmtId="0" fontId="11" fillId="0" borderId="0" xfId="0" applyFont="1" applyAlignment="1"/>
    <xf numFmtId="0" fontId="0" fillId="0" borderId="4" xfId="0" applyBorder="1" applyAlignment="1"/>
    <xf numFmtId="0" fontId="0" fillId="0" borderId="5" xfId="0" applyBorder="1" applyAlignment="1"/>
    <xf numFmtId="0" fontId="0" fillId="0" borderId="7" xfId="0" applyBorder="1" applyAlignment="1"/>
    <xf numFmtId="0" fontId="0" fillId="0" borderId="10" xfId="0" applyBorder="1" applyAlignment="1"/>
    <xf numFmtId="0" fontId="14" fillId="0" borderId="4" xfId="0" applyFont="1" applyBorder="1" applyAlignment="1"/>
    <xf numFmtId="0" fontId="14" fillId="0" borderId="5" xfId="0" applyFont="1" applyBorder="1" applyAlignment="1"/>
    <xf numFmtId="0" fontId="0" fillId="0" borderId="0" xfId="0" applyAlignment="1"/>
    <xf numFmtId="0" fontId="0" fillId="0" borderId="9" xfId="0" applyBorder="1" applyAlignment="1"/>
  </cellXfs>
  <cellStyles count="5">
    <cellStyle name="Currency" xfId="1" builtinId="4"/>
    <cellStyle name="Hyperlink" xfId="3" builtinId="8"/>
    <cellStyle name="Normal" xfId="0" builtinId="0"/>
    <cellStyle name="Normal 2" xfId="4" xr:uid="{3506FB8B-B240-4B9C-9F89-C787144E6BB0}"/>
    <cellStyle name="Percent" xfId="2" builtinId="5"/>
  </cellStyles>
  <dxfs count="0"/>
  <tableStyles count="0" defaultTableStyle="TableStyleMedium2" defaultPivotStyle="PivotStyleLight16"/>
  <colors>
    <mruColors>
      <color rgb="FF000F5D"/>
      <color rgb="FFD59F0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tyles" Target="styles.xml"/><Relationship Id="rId5" Type="http://schemas.openxmlformats.org/officeDocument/2006/relationships/chartsheet" Target="chartsheets/sheet2.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a:t>Per Student Charter School Facility Funding Gap (FY 2029)</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5"/>
          <c:order val="5"/>
          <c:tx>
            <c:strRef>
              <c:f>'Data Details'!$C$159</c:f>
              <c:strCache>
                <c:ptCount val="1"/>
                <c:pt idx="0">
                  <c:v>Per Student Facility Funding Gap</c:v>
                </c:pt>
              </c:strCache>
            </c:strRef>
          </c:tx>
          <c:spPr>
            <a:solidFill>
              <a:srgbClr val="FF0000"/>
            </a:solidFill>
            <a:ln>
              <a:solidFill>
                <a:schemeClr val="tx1"/>
              </a:solidFill>
            </a:ln>
            <a:effectLst/>
          </c:spPr>
          <c:invertIfNegative val="0"/>
          <c:dPt>
            <c:idx val="0"/>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01-81C4-4DB7-9458-26E32F5A59AD}"/>
              </c:ext>
            </c:extLst>
          </c:dPt>
          <c:dPt>
            <c:idx val="1"/>
            <c:invertIfNegative val="0"/>
            <c:bubble3D val="0"/>
            <c:spPr>
              <a:solidFill>
                <a:srgbClr val="002060"/>
              </a:solidFill>
              <a:ln>
                <a:solidFill>
                  <a:schemeClr val="tx1"/>
                </a:solidFill>
              </a:ln>
              <a:effectLst/>
            </c:spPr>
            <c:extLst>
              <c:ext xmlns:c16="http://schemas.microsoft.com/office/drawing/2014/chart" uri="{C3380CC4-5D6E-409C-BE32-E72D297353CC}">
                <c16:uniqueId val="{00000000-81C4-4DB7-9458-26E32F5A59AD}"/>
              </c:ext>
            </c:extLst>
          </c:dPt>
          <c:dLbls>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Details'!$E$152:$F$152</c:f>
              <c:strCache>
                <c:ptCount val="2"/>
                <c:pt idx="0">
                  <c:v>Current
Policy</c:v>
                </c:pt>
                <c:pt idx="1">
                  <c:v>Revised
Policy</c:v>
                </c:pt>
              </c:strCache>
            </c:strRef>
          </c:cat>
          <c:val>
            <c:numRef>
              <c:f>'Data Details'!$E$159:$F$159</c:f>
              <c:numCache>
                <c:formatCode>"$"#,##0</c:formatCode>
                <c:ptCount val="2"/>
                <c:pt idx="0">
                  <c:v>1494.7669896805542</c:v>
                </c:pt>
                <c:pt idx="1">
                  <c:v>1494.7669896805542</c:v>
                </c:pt>
              </c:numCache>
            </c:numRef>
          </c:val>
          <c:extLst>
            <c:ext xmlns:c16="http://schemas.microsoft.com/office/drawing/2014/chart" uri="{C3380CC4-5D6E-409C-BE32-E72D297353CC}">
              <c16:uniqueId val="{00000005-9592-4FF6-8A30-C52FA36A5854}"/>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Details'!$C$153</c15:sqref>
                        </c15:formulaRef>
                      </c:ext>
                    </c:extLst>
                    <c:strCache>
                      <c:ptCount val="1"/>
                      <c:pt idx="0">
                        <c:v>Total Need Met</c:v>
                      </c:pt>
                    </c:strCache>
                  </c:strRef>
                </c:tx>
                <c:spPr>
                  <a:solidFill>
                    <a:schemeClr val="accent1"/>
                  </a:solidFill>
                  <a:ln>
                    <a:noFill/>
                  </a:ln>
                  <a:effectLst/>
                </c:spPr>
                <c:invertIfNegative val="0"/>
                <c:cat>
                  <c:strRef>
                    <c:extLst>
                      <c:ext uri="{02D57815-91ED-43cb-92C2-25804820EDAC}">
                        <c15:formulaRef>
                          <c15:sqref>'Data Details'!$E$152:$F$152</c15:sqref>
                        </c15:formulaRef>
                      </c:ext>
                    </c:extLst>
                    <c:strCache>
                      <c:ptCount val="2"/>
                      <c:pt idx="0">
                        <c:v>Current
Policy</c:v>
                      </c:pt>
                      <c:pt idx="1">
                        <c:v>Revised
Policy</c:v>
                      </c:pt>
                    </c:strCache>
                  </c:strRef>
                </c:cat>
                <c:val>
                  <c:numRef>
                    <c:extLst>
                      <c:ext uri="{02D57815-91ED-43cb-92C2-25804820EDAC}">
                        <c15:formulaRef>
                          <c15:sqref>'Data Details'!$E$153:$F$153</c15:sqref>
                        </c15:formulaRef>
                      </c:ext>
                    </c:extLst>
                    <c:numCache>
                      <c:formatCode>0.0%</c:formatCode>
                      <c:ptCount val="2"/>
                      <c:pt idx="0">
                        <c:v>0.42104985476087536</c:v>
                      </c:pt>
                      <c:pt idx="1">
                        <c:v>0.42104985476087536</c:v>
                      </c:pt>
                    </c:numCache>
                  </c:numRef>
                </c:val>
                <c:extLst>
                  <c:ext xmlns:c16="http://schemas.microsoft.com/office/drawing/2014/chart" uri="{C3380CC4-5D6E-409C-BE32-E72D297353CC}">
                    <c16:uniqueId val="{00000003-9592-4FF6-8A30-C52FA36A585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Details'!$C$155</c15:sqref>
                        </c15:formulaRef>
                      </c:ext>
                    </c:extLst>
                    <c:strCache>
                      <c:ptCount val="1"/>
                      <c:pt idx="0">
                        <c:v>Funding Subtotal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Details'!$E$155:$F$155</c15:sqref>
                        </c15:formulaRef>
                      </c:ext>
                    </c:extLst>
                    <c:numCache>
                      <c:formatCode>0.0%</c:formatCode>
                      <c:ptCount val="2"/>
                      <c:pt idx="0">
                        <c:v>0.3957165235612965</c:v>
                      </c:pt>
                      <c:pt idx="1">
                        <c:v>0.3957165235612965</c:v>
                      </c:pt>
                    </c:numCache>
                  </c:numRef>
                </c:val>
                <c:extLst xmlns:c15="http://schemas.microsoft.com/office/drawing/2012/chart">
                  <c:ext xmlns:c16="http://schemas.microsoft.com/office/drawing/2014/chart" uri="{C3380CC4-5D6E-409C-BE32-E72D297353CC}">
                    <c16:uniqueId val="{00000000-9592-4FF6-8A30-C52FA36A585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Details'!$C$156</c15:sqref>
                        </c15:formulaRef>
                      </c:ext>
                    </c:extLst>
                    <c:strCache>
                      <c:ptCount val="1"/>
                      <c:pt idx="0">
                        <c:v>Facilities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Details'!$E$156:$F$156</c15:sqref>
                        </c15:formulaRef>
                      </c:ext>
                    </c:extLst>
                    <c:numCache>
                      <c:formatCode>0.0%</c:formatCode>
                      <c:ptCount val="2"/>
                      <c:pt idx="0">
                        <c:v>2.5333331199578892E-2</c:v>
                      </c:pt>
                      <c:pt idx="1">
                        <c:v>2.5333331199578892E-2</c:v>
                      </c:pt>
                    </c:numCache>
                  </c:numRef>
                </c:val>
                <c:extLst xmlns:c15="http://schemas.microsoft.com/office/drawing/2012/chart">
                  <c:ext xmlns:c16="http://schemas.microsoft.com/office/drawing/2014/chart" uri="{C3380CC4-5D6E-409C-BE32-E72D297353CC}">
                    <c16:uniqueId val="{00000001-9592-4FF6-8A30-C52FA36A585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Details'!$C$157</c15:sqref>
                        </c15:formulaRef>
                      </c:ext>
                    </c:extLst>
                    <c:strCache>
                      <c:ptCount val="1"/>
                      <c:pt idx="0">
                        <c:v>Financing 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Details'!$E$157:$F$157</c15:sqref>
                        </c15:formulaRef>
                      </c:ext>
                    </c:extLst>
                    <c:numCache>
                      <c:formatCode>0.0%</c:formatCode>
                      <c:ptCount val="2"/>
                      <c:pt idx="0">
                        <c:v>0</c:v>
                      </c:pt>
                      <c:pt idx="1">
                        <c:v>0</c:v>
                      </c:pt>
                    </c:numCache>
                  </c:numRef>
                </c:val>
                <c:extLst xmlns:c15="http://schemas.microsoft.com/office/drawing/2012/chart">
                  <c:ext xmlns:c16="http://schemas.microsoft.com/office/drawing/2014/chart" uri="{C3380CC4-5D6E-409C-BE32-E72D297353CC}">
                    <c16:uniqueId val="{00000002-9592-4FF6-8A30-C52FA36A585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Details'!$C$158</c15:sqref>
                        </c15:formulaRef>
                      </c:ext>
                    </c:extLst>
                    <c:strCache>
                      <c:ptCount val="1"/>
                      <c:pt idx="0">
                        <c:v>Facility Gap Funding Amount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Details'!$E$158:$F$158</c15:sqref>
                        </c15:formulaRef>
                      </c:ext>
                    </c:extLst>
                    <c:numCache>
                      <c:formatCode>"$"#,##0</c:formatCode>
                      <c:ptCount val="2"/>
                      <c:pt idx="0">
                        <c:v>138387505.52820262</c:v>
                      </c:pt>
                      <c:pt idx="1">
                        <c:v>138387505.52820262</c:v>
                      </c:pt>
                    </c:numCache>
                  </c:numRef>
                </c:val>
                <c:extLst xmlns:c15="http://schemas.microsoft.com/office/drawing/2012/chart">
                  <c:ext xmlns:c16="http://schemas.microsoft.com/office/drawing/2014/chart" uri="{C3380CC4-5D6E-409C-BE32-E72D297353CC}">
                    <c16:uniqueId val="{00000004-9592-4FF6-8A30-C52FA36A5854}"/>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'Data Details'!$C$160</c15:sqref>
                        </c15:formulaRef>
                      </c:ext>
                    </c:extLst>
                    <c:strCache>
                      <c:ptCount val="1"/>
                      <c:pt idx="0">
                        <c:v>Number of Additional Teachers Hired</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Details'!$E$160:$F$160</c15:sqref>
                        </c15:formulaRef>
                      </c:ext>
                    </c:extLst>
                    <c:numCache>
                      <c:formatCode>0</c:formatCode>
                      <c:ptCount val="2"/>
                      <c:pt idx="0">
                        <c:v>7.1749312605554687</c:v>
                      </c:pt>
                      <c:pt idx="1">
                        <c:v>7.1749312605554687</c:v>
                      </c:pt>
                    </c:numCache>
                  </c:numRef>
                </c:val>
                <c:extLst xmlns:c15="http://schemas.microsoft.com/office/drawing/2012/chart">
                  <c:ext xmlns:c16="http://schemas.microsoft.com/office/drawing/2014/chart" uri="{C3380CC4-5D6E-409C-BE32-E72D297353CC}">
                    <c16:uniqueId val="{00000006-9592-4FF6-8A30-C52FA36A5854}"/>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baseline="0"/>
              <a:t>Teachers That An Average-Sized Charter School Cannot Hire Because Its Facility Needs Are Not Fully Met</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'Facility Index Tool'!$C$18</c:f>
              <c:strCache>
                <c:ptCount val="1"/>
                <c:pt idx="0">
                  <c:v>Teachers that an average-sized charter school cannot hire because its facility are not needs fully met</c:v>
                </c:pt>
              </c:strCache>
            </c:strRef>
          </c:tx>
          <c:spPr>
            <a:solidFill>
              <a:schemeClr val="accent1"/>
            </a:solidFill>
            <a:ln>
              <a:solidFill>
                <a:schemeClr val="tx1"/>
              </a:solidFill>
            </a:ln>
            <a:effectLst/>
          </c:spPr>
          <c:invertIfNegative val="0"/>
          <c:dPt>
            <c:idx val="0"/>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B-FD42-4A02-8835-1618417C6FF4}"/>
              </c:ext>
            </c:extLst>
          </c:dPt>
          <c:dPt>
            <c:idx val="1"/>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0C-FD42-4A02-8835-1618417C6FF4}"/>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Tool'!$D$12:$E$12</c:f>
              <c:strCache>
                <c:ptCount val="2"/>
                <c:pt idx="0">
                  <c:v> Current
(FY 2024)</c:v>
                </c:pt>
                <c:pt idx="1">
                  <c:v>Projected
(FY 2029)</c:v>
                </c:pt>
              </c:strCache>
            </c:strRef>
          </c:cat>
          <c:val>
            <c:numRef>
              <c:f>'Facility Index Tool'!$D$18:$E$18</c:f>
              <c:numCache>
                <c:formatCode>0</c:formatCode>
                <c:ptCount val="2"/>
                <c:pt idx="0">
                  <c:v>4.5844911341736463</c:v>
                </c:pt>
                <c:pt idx="1">
                  <c:v>7.1749312605554687</c:v>
                </c:pt>
              </c:numCache>
            </c:numRef>
          </c:val>
          <c:extLst xmlns:c15="http://schemas.microsoft.com/office/drawing/2012/chart">
            <c:ext xmlns:c16="http://schemas.microsoft.com/office/drawing/2014/chart" uri="{C3380CC4-5D6E-409C-BE32-E72D297353CC}">
              <c16:uniqueId val="{00000005-FD42-4A02-8835-1618417C6FF4}"/>
            </c:ext>
          </c:extLst>
        </c:ser>
        <c:dLbls>
          <c:dLblPos val="outEnd"/>
          <c:showLegendKey val="0"/>
          <c:showVal val="1"/>
          <c:showCatName val="0"/>
          <c:showSerName val="0"/>
          <c:showPercent val="0"/>
          <c:showBubbleSize val="0"/>
        </c:dLbls>
        <c:gapWidth val="67"/>
        <c:overlap val="-27"/>
        <c:axId val="357905120"/>
        <c:axId val="1924406016"/>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a:t>Overall Funding Inequity Per Student (FY 2026)</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6505936639531871"/>
          <c:y val="0.28184979479008004"/>
          <c:w val="0.80388179856666919"/>
          <c:h val="0.5529282013311807"/>
        </c:manualLayout>
      </c:layout>
      <c:barChart>
        <c:barDir val="col"/>
        <c:grouping val="stacked"/>
        <c:varyColors val="0"/>
        <c:ser>
          <c:idx val="5"/>
          <c:order val="5"/>
          <c:tx>
            <c:strRef>
              <c:f>'Data Details'!$C$166</c:f>
              <c:strCache>
                <c:ptCount val="1"/>
                <c:pt idx="0">
                  <c:v>Operating</c:v>
                </c:pt>
              </c:strCache>
            </c:strRef>
          </c:tx>
          <c:spPr>
            <a:solidFill>
              <a:schemeClr val="accent6">
                <a:lumMod val="75000"/>
              </a:schemeClr>
            </a:solidFill>
            <a:ln>
              <a:noFill/>
            </a:ln>
            <a:effectLst/>
          </c:spPr>
          <c:invertIfNegative val="0"/>
          <c:dLbls>
            <c:dLbl>
              <c:idx val="0"/>
              <c:layout>
                <c:manualLayout>
                  <c:x val="5.6470609160021402E-3"/>
                  <c:y val="-1.4784773022369286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977-421D-B29A-0F0A5C3B0711}"/>
                </c:ext>
              </c:extLst>
            </c:dLbl>
            <c:dLbl>
              <c:idx val="1"/>
              <c:layout>
                <c:manualLayout>
                  <c:x val="-2.8235304580010961E-3"/>
                  <c:y val="-4.4296576300111206E-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977-421D-B29A-0F0A5C3B071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'Data Details'!$E$152:$F$152</c:f>
              <c:strCache>
                <c:ptCount val="2"/>
                <c:pt idx="0">
                  <c:v>Current
Policy</c:v>
                </c:pt>
                <c:pt idx="1">
                  <c:v>Revised
Policy</c:v>
                </c:pt>
              </c:strCache>
            </c:strRef>
          </c:cat>
          <c:val>
            <c:numRef>
              <c:f>'Data Details'!$E$166:$F$166</c:f>
              <c:numCache>
                <c:formatCode>"$"#,##0</c:formatCode>
                <c:ptCount val="2"/>
                <c:pt idx="0">
                  <c:v>1000</c:v>
                </c:pt>
                <c:pt idx="1">
                  <c:v>1000</c:v>
                </c:pt>
              </c:numCache>
            </c:numRef>
          </c:val>
          <c:extLst>
            <c:ext xmlns:c16="http://schemas.microsoft.com/office/drawing/2014/chart" uri="{C3380CC4-5D6E-409C-BE32-E72D297353CC}">
              <c16:uniqueId val="{00000002-B977-421D-B29A-0F0A5C3B0711}"/>
            </c:ext>
          </c:extLst>
        </c:ser>
        <c:ser>
          <c:idx val="7"/>
          <c:order val="7"/>
          <c:tx>
            <c:strRef>
              <c:f>'Data Details'!$C$167</c:f>
              <c:strCache>
                <c:ptCount val="1"/>
                <c:pt idx="0">
                  <c:v>Facility</c:v>
                </c:pt>
              </c:strCache>
            </c:strRef>
          </c:tx>
          <c:spPr>
            <a:solidFill>
              <a:schemeClr val="accent2">
                <a:lumMod val="60000"/>
              </a:schemeClr>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4-B977-421D-B29A-0F0A5C3B0711}"/>
              </c:ext>
            </c:extLst>
          </c:dPt>
          <c:dPt>
            <c:idx val="1"/>
            <c:invertIfNegative val="0"/>
            <c:bubble3D val="0"/>
            <c:spPr>
              <a:solidFill>
                <a:srgbClr val="D59F0F"/>
              </a:solidFill>
              <a:ln>
                <a:noFill/>
              </a:ln>
              <a:effectLst/>
            </c:spPr>
            <c:extLst>
              <c:ext xmlns:c16="http://schemas.microsoft.com/office/drawing/2014/chart" uri="{C3380CC4-5D6E-409C-BE32-E72D297353CC}">
                <c16:uniqueId val="{00000006-B977-421D-B29A-0F0A5C3B0711}"/>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'Data Details'!$E$167:$F$167</c:f>
              <c:numCache>
                <c:formatCode>"$"#,##0</c:formatCode>
                <c:ptCount val="2"/>
                <c:pt idx="0">
                  <c:v>1494.7669896805542</c:v>
                </c:pt>
                <c:pt idx="1">
                  <c:v>1494.7669896805542</c:v>
                </c:pt>
              </c:numCache>
            </c:numRef>
          </c:val>
          <c:extLst>
            <c:ext xmlns:c16="http://schemas.microsoft.com/office/drawing/2014/chart" uri="{C3380CC4-5D6E-409C-BE32-E72D297353CC}">
              <c16:uniqueId val="{00000007-B977-421D-B29A-0F0A5C3B0711}"/>
            </c:ext>
          </c:extLst>
        </c:ser>
        <c:dLbls>
          <c:showLegendKey val="0"/>
          <c:showVal val="0"/>
          <c:showCatName val="0"/>
          <c:showSerName val="0"/>
          <c:showPercent val="0"/>
          <c:showBubbleSize val="0"/>
        </c:dLbls>
        <c:gapWidth val="67"/>
        <c:overlap val="100"/>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Details'!$C$153</c15:sqref>
                        </c15:formulaRef>
                      </c:ext>
                    </c:extLst>
                    <c:strCache>
                      <c:ptCount val="1"/>
                      <c:pt idx="0">
                        <c:v>Total Need Met</c:v>
                      </c:pt>
                    </c:strCache>
                  </c:strRef>
                </c:tx>
                <c:spPr>
                  <a:solidFill>
                    <a:schemeClr val="accent1"/>
                  </a:solidFill>
                  <a:ln>
                    <a:noFill/>
                  </a:ln>
                  <a:effectLst/>
                </c:spPr>
                <c:invertIfNegative val="0"/>
                <c:cat>
                  <c:strRef>
                    <c:extLst>
                      <c:ext uri="{02D57815-91ED-43cb-92C2-25804820EDAC}">
                        <c15:formulaRef>
                          <c15:sqref>'Data Details'!$E$152:$F$152</c15:sqref>
                        </c15:formulaRef>
                      </c:ext>
                    </c:extLst>
                    <c:strCache>
                      <c:ptCount val="2"/>
                      <c:pt idx="0">
                        <c:v>Current
Policy</c:v>
                      </c:pt>
                      <c:pt idx="1">
                        <c:v>Revised
Policy</c:v>
                      </c:pt>
                    </c:strCache>
                  </c:strRef>
                </c:cat>
                <c:val>
                  <c:numRef>
                    <c:extLst>
                      <c:ext uri="{02D57815-91ED-43cb-92C2-25804820EDAC}">
                        <c15:formulaRef>
                          <c15:sqref>'Data Details'!$E$153:$F$153</c15:sqref>
                        </c15:formulaRef>
                      </c:ext>
                    </c:extLst>
                    <c:numCache>
                      <c:formatCode>0.0%</c:formatCode>
                      <c:ptCount val="2"/>
                      <c:pt idx="0">
                        <c:v>0.42104985476087536</c:v>
                      </c:pt>
                      <c:pt idx="1">
                        <c:v>0.42104985476087536</c:v>
                      </c:pt>
                    </c:numCache>
                  </c:numRef>
                </c:val>
                <c:extLst>
                  <c:ext xmlns:c16="http://schemas.microsoft.com/office/drawing/2014/chart" uri="{C3380CC4-5D6E-409C-BE32-E72D297353CC}">
                    <c16:uniqueId val="{0000000B-B977-421D-B29A-0F0A5C3B0711}"/>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Details'!$C$155</c15:sqref>
                        </c15:formulaRef>
                      </c:ext>
                    </c:extLst>
                    <c:strCache>
                      <c:ptCount val="1"/>
                      <c:pt idx="0">
                        <c:v>Funding Subtotal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Details'!$E$155:$F$155</c15:sqref>
                        </c15:formulaRef>
                      </c:ext>
                    </c:extLst>
                    <c:numCache>
                      <c:formatCode>0.0%</c:formatCode>
                      <c:ptCount val="2"/>
                      <c:pt idx="0">
                        <c:v>0.3957165235612965</c:v>
                      </c:pt>
                      <c:pt idx="1">
                        <c:v>0.3957165235612965</c:v>
                      </c:pt>
                    </c:numCache>
                  </c:numRef>
                </c:val>
                <c:extLst xmlns:c15="http://schemas.microsoft.com/office/drawing/2012/chart">
                  <c:ext xmlns:c16="http://schemas.microsoft.com/office/drawing/2014/chart" uri="{C3380CC4-5D6E-409C-BE32-E72D297353CC}">
                    <c16:uniqueId val="{0000000C-B977-421D-B29A-0F0A5C3B0711}"/>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Details'!$C$156</c15:sqref>
                        </c15:formulaRef>
                      </c:ext>
                    </c:extLst>
                    <c:strCache>
                      <c:ptCount val="1"/>
                      <c:pt idx="0">
                        <c:v>Facilities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Details'!$E$156:$F$156</c15:sqref>
                        </c15:formulaRef>
                      </c:ext>
                    </c:extLst>
                    <c:numCache>
                      <c:formatCode>0.0%</c:formatCode>
                      <c:ptCount val="2"/>
                      <c:pt idx="0">
                        <c:v>2.5333331199578892E-2</c:v>
                      </c:pt>
                      <c:pt idx="1">
                        <c:v>2.5333331199578892E-2</c:v>
                      </c:pt>
                    </c:numCache>
                  </c:numRef>
                </c:val>
                <c:extLst xmlns:c15="http://schemas.microsoft.com/office/drawing/2012/chart">
                  <c:ext xmlns:c16="http://schemas.microsoft.com/office/drawing/2014/chart" uri="{C3380CC4-5D6E-409C-BE32-E72D297353CC}">
                    <c16:uniqueId val="{0000000D-B977-421D-B29A-0F0A5C3B0711}"/>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Details'!$C$157</c15:sqref>
                        </c15:formulaRef>
                      </c:ext>
                    </c:extLst>
                    <c:strCache>
                      <c:ptCount val="1"/>
                      <c:pt idx="0">
                        <c:v>Financing 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Details'!$E$157:$F$157</c15:sqref>
                        </c15:formulaRef>
                      </c:ext>
                    </c:extLst>
                    <c:numCache>
                      <c:formatCode>0.0%</c:formatCode>
                      <c:ptCount val="2"/>
                      <c:pt idx="0">
                        <c:v>0</c:v>
                      </c:pt>
                      <c:pt idx="1">
                        <c:v>0</c:v>
                      </c:pt>
                    </c:numCache>
                  </c:numRef>
                </c:val>
                <c:extLst xmlns:c15="http://schemas.microsoft.com/office/drawing/2012/chart">
                  <c:ext xmlns:c16="http://schemas.microsoft.com/office/drawing/2014/chart" uri="{C3380CC4-5D6E-409C-BE32-E72D297353CC}">
                    <c16:uniqueId val="{0000000E-B977-421D-B29A-0F0A5C3B0711}"/>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Details'!$C$158</c15:sqref>
                        </c15:formulaRef>
                      </c:ext>
                    </c:extLst>
                    <c:strCache>
                      <c:ptCount val="1"/>
                      <c:pt idx="0">
                        <c:v>Facility Gap Funding Amount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Details'!$E$158:$F$158</c15:sqref>
                        </c15:formulaRef>
                      </c:ext>
                    </c:extLst>
                    <c:numCache>
                      <c:formatCode>"$"#,##0</c:formatCode>
                      <c:ptCount val="2"/>
                      <c:pt idx="0">
                        <c:v>138387505.52820262</c:v>
                      </c:pt>
                      <c:pt idx="1">
                        <c:v>138387505.52820262</c:v>
                      </c:pt>
                    </c:numCache>
                  </c:numRef>
                </c:val>
                <c:extLst xmlns:c15="http://schemas.microsoft.com/office/drawing/2012/chart">
                  <c:ext xmlns:c16="http://schemas.microsoft.com/office/drawing/2014/chart" uri="{C3380CC4-5D6E-409C-BE32-E72D297353CC}">
                    <c16:uniqueId val="{0000000F-B977-421D-B29A-0F0A5C3B0711}"/>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'Data Details'!$C$160</c15:sqref>
                        </c15:formulaRef>
                      </c:ext>
                    </c:extLst>
                    <c:strCache>
                      <c:ptCount val="1"/>
                      <c:pt idx="0">
                        <c:v>Number of Additional Teachers Hired</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Details'!$E$160:$F$160</c15:sqref>
                        </c15:formulaRef>
                      </c:ext>
                    </c:extLst>
                    <c:numCache>
                      <c:formatCode>0</c:formatCode>
                      <c:ptCount val="2"/>
                      <c:pt idx="0">
                        <c:v>7.1749312605554687</c:v>
                      </c:pt>
                      <c:pt idx="1">
                        <c:v>7.1749312605554687</c:v>
                      </c:pt>
                    </c:numCache>
                  </c:numRef>
                </c:val>
                <c:extLst xmlns:c15="http://schemas.microsoft.com/office/drawing/2012/chart">
                  <c:ext xmlns:c16="http://schemas.microsoft.com/office/drawing/2014/chart" uri="{C3380CC4-5D6E-409C-BE32-E72D297353CC}">
                    <c16:uniqueId val="{00000010-B977-421D-B29A-0F0A5C3B0711}"/>
                  </c:ext>
                </c:extLst>
              </c15:ser>
            </c15:filteredBarSeries>
          </c:ext>
        </c:extLst>
      </c:barChart>
      <c:barChart>
        <c:barDir val="col"/>
        <c:grouping val="stacked"/>
        <c:varyColors val="0"/>
        <c:ser>
          <c:idx val="8"/>
          <c:order val="8"/>
          <c:tx>
            <c:strRef>
              <c:f>'Data Details'!$C$168</c:f>
              <c:strCache>
                <c:ptCount val="1"/>
                <c:pt idx="0">
                  <c:v>Total Gap</c:v>
                </c:pt>
              </c:strCache>
            </c:strRef>
          </c:tx>
          <c:spPr>
            <a:noFill/>
            <a:ln>
              <a:solidFill>
                <a:schemeClr val="tx1"/>
              </a:solidFill>
            </a:ln>
            <a:effectLst/>
          </c:spPr>
          <c:invertIfNegative val="0"/>
          <c:dLbls>
            <c:dLbl>
              <c:idx val="0"/>
              <c:layout>
                <c:manualLayout>
                  <c:x val="-6.513462348665993E-3"/>
                  <c:y val="-0.34309466060507593"/>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B977-421D-B29A-0F0A5C3B0711}"/>
                </c:ext>
              </c:extLst>
            </c:dLbl>
            <c:dLbl>
              <c:idx val="1"/>
              <c:layout>
                <c:manualLayout>
                  <c:x val="6.2895808391221263E-3"/>
                  <c:y val="-0.34075371633760726"/>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B977-421D-B29A-0F0A5C3B0711}"/>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'Data Details'!$E$168:$F$168</c:f>
              <c:numCache>
                <c:formatCode>"$"#,##0</c:formatCode>
                <c:ptCount val="2"/>
                <c:pt idx="0">
                  <c:v>2494.7669896805542</c:v>
                </c:pt>
                <c:pt idx="1">
                  <c:v>2494.7669896805542</c:v>
                </c:pt>
              </c:numCache>
            </c:numRef>
          </c:val>
          <c:extLst>
            <c:ext xmlns:c16="http://schemas.microsoft.com/office/drawing/2014/chart" uri="{C3380CC4-5D6E-409C-BE32-E72D297353CC}">
              <c16:uniqueId val="{0000000A-B977-421D-B29A-0F0A5C3B0711}"/>
            </c:ext>
          </c:extLst>
        </c:ser>
        <c:dLbls>
          <c:showLegendKey val="0"/>
          <c:showVal val="0"/>
          <c:showCatName val="0"/>
          <c:showSerName val="0"/>
          <c:showPercent val="0"/>
          <c:showBubbleSize val="0"/>
        </c:dLbls>
        <c:gapWidth val="67"/>
        <c:overlap val="100"/>
        <c:axId val="813587160"/>
        <c:axId val="813581584"/>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00"/>
      </c:valAx>
      <c:valAx>
        <c:axId val="813581584"/>
        <c:scaling>
          <c:orientation val="minMax"/>
          <c:min val="0"/>
        </c:scaling>
        <c:delete val="1"/>
        <c:axPos val="r"/>
        <c:numFmt formatCode="&quot;$&quot;#,##0" sourceLinked="1"/>
        <c:majorTickMark val="out"/>
        <c:minorTickMark val="none"/>
        <c:tickLblPos val="nextTo"/>
        <c:crossAx val="813587160"/>
        <c:crosses val="max"/>
        <c:crossBetween val="between"/>
      </c:valAx>
      <c:catAx>
        <c:axId val="813587160"/>
        <c:scaling>
          <c:orientation val="minMax"/>
        </c:scaling>
        <c:delete val="1"/>
        <c:axPos val="b"/>
        <c:majorTickMark val="out"/>
        <c:minorTickMark val="none"/>
        <c:tickLblPos val="nextTo"/>
        <c:crossAx val="81358158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baseline="0"/>
              <a:t>Teachers That  Charter School Cannot Hire Because of Inequitable Funding (FY 2026)</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9.6684233630827926E-2"/>
          <c:y val="0.31863689954136276"/>
          <c:w val="0.87173682375966188"/>
          <c:h val="0.51521801040056392"/>
        </c:manualLayout>
      </c:layout>
      <c:barChart>
        <c:barDir val="col"/>
        <c:grouping val="stacked"/>
        <c:varyColors val="0"/>
        <c:ser>
          <c:idx val="6"/>
          <c:order val="6"/>
          <c:tx>
            <c:strRef>
              <c:f>'Data Details'!$C$171</c:f>
              <c:strCache>
                <c:ptCount val="1"/>
                <c:pt idx="0">
                  <c:v> Operating</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'Data Details'!$E$152:$F$152</c:f>
              <c:strCache>
                <c:ptCount val="2"/>
                <c:pt idx="0">
                  <c:v>Current
Policy</c:v>
                </c:pt>
                <c:pt idx="1">
                  <c:v>Revised
Policy</c:v>
                </c:pt>
              </c:strCache>
              <c:extLst xmlns:c15="http://schemas.microsoft.com/office/drawing/2012/chart"/>
            </c:strRef>
          </c:cat>
          <c:val>
            <c:numRef>
              <c:f>'Data Details'!$E$171:$F$171</c:f>
              <c:numCache>
                <c:formatCode>#,##0</c:formatCode>
                <c:ptCount val="2"/>
                <c:pt idx="0">
                  <c:v>5</c:v>
                </c:pt>
                <c:pt idx="1">
                  <c:v>5</c:v>
                </c:pt>
              </c:numCache>
            </c:numRef>
          </c:val>
          <c:extLst>
            <c:ext xmlns:c16="http://schemas.microsoft.com/office/drawing/2014/chart" uri="{C3380CC4-5D6E-409C-BE32-E72D297353CC}">
              <c16:uniqueId val="{00000000-F732-4632-86CC-6A0C09D8A7C9}"/>
            </c:ext>
          </c:extLst>
        </c:ser>
        <c:ser>
          <c:idx val="7"/>
          <c:order val="7"/>
          <c:tx>
            <c:strRef>
              <c:f>'Data Details'!$C$170</c:f>
              <c:strCache>
                <c:ptCount val="1"/>
                <c:pt idx="0">
                  <c:v> Facility</c:v>
                </c:pt>
              </c:strCache>
            </c:strRef>
          </c:tx>
          <c:spPr>
            <a:solidFill>
              <a:schemeClr val="accent6">
                <a:lumMod val="75000"/>
              </a:schemeClr>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2-F732-4632-86CC-6A0C09D8A7C9}"/>
              </c:ext>
            </c:extLst>
          </c:dPt>
          <c:dPt>
            <c:idx val="1"/>
            <c:invertIfNegative val="0"/>
            <c:bubble3D val="0"/>
            <c:spPr>
              <a:solidFill>
                <a:srgbClr val="D59F0F"/>
              </a:solidFill>
              <a:ln>
                <a:noFill/>
              </a:ln>
              <a:effectLst/>
            </c:spPr>
            <c:extLst>
              <c:ext xmlns:c16="http://schemas.microsoft.com/office/drawing/2014/chart" uri="{C3380CC4-5D6E-409C-BE32-E72D297353CC}">
                <c16:uniqueId val="{00000004-F732-4632-86CC-6A0C09D8A7C9}"/>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'Data Details'!$E$170:$F$170</c:f>
              <c:numCache>
                <c:formatCode>0</c:formatCode>
                <c:ptCount val="2"/>
                <c:pt idx="0">
                  <c:v>7</c:v>
                </c:pt>
                <c:pt idx="1">
                  <c:v>7</c:v>
                </c:pt>
              </c:numCache>
            </c:numRef>
          </c:val>
          <c:extLst>
            <c:ext xmlns:c16="http://schemas.microsoft.com/office/drawing/2014/chart" uri="{C3380CC4-5D6E-409C-BE32-E72D297353CC}">
              <c16:uniqueId val="{00000005-F732-4632-86CC-6A0C09D8A7C9}"/>
            </c:ext>
          </c:extLst>
        </c:ser>
        <c:dLbls>
          <c:showLegendKey val="0"/>
          <c:showVal val="0"/>
          <c:showCatName val="0"/>
          <c:showSerName val="0"/>
          <c:showPercent val="0"/>
          <c:showBubbleSize val="0"/>
        </c:dLbls>
        <c:gapWidth val="67"/>
        <c:overlap val="100"/>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Details'!$C$171</c15:sqref>
                        </c15:formulaRef>
                      </c:ext>
                    </c:extLst>
                    <c:strCache>
                      <c:ptCount val="1"/>
                      <c:pt idx="0">
                        <c:v> Operating</c:v>
                      </c:pt>
                    </c:strCache>
                  </c:strRef>
                </c:tx>
                <c:spPr>
                  <a:solidFill>
                    <a:schemeClr val="accent1"/>
                  </a:solidFill>
                  <a:ln>
                    <a:noFill/>
                  </a:ln>
                  <a:effectLst/>
                </c:spPr>
                <c:invertIfNegative val="0"/>
                <c:cat>
                  <c:strRef>
                    <c:extLst>
                      <c:ext uri="{02D57815-91ED-43cb-92C2-25804820EDAC}">
                        <c15:formulaRef>
                          <c15:sqref>'Data Details'!$E$152:$F$152</c15:sqref>
                        </c15:formulaRef>
                      </c:ext>
                    </c:extLst>
                    <c:strCache>
                      <c:ptCount val="2"/>
                      <c:pt idx="0">
                        <c:v>Current
Policy</c:v>
                      </c:pt>
                      <c:pt idx="1">
                        <c:v>Revised
Policy</c:v>
                      </c:pt>
                    </c:strCache>
                  </c:strRef>
                </c:cat>
                <c:val>
                  <c:numRef>
                    <c:extLst>
                      <c:ext uri="{02D57815-91ED-43cb-92C2-25804820EDAC}">
                        <c15:formulaRef>
                          <c15:sqref>'Data Details'!$E$171:$F$171</c15:sqref>
                        </c15:formulaRef>
                      </c:ext>
                    </c:extLst>
                    <c:numCache>
                      <c:formatCode>#,##0</c:formatCode>
                      <c:ptCount val="2"/>
                      <c:pt idx="0">
                        <c:v>5</c:v>
                      </c:pt>
                      <c:pt idx="1">
                        <c:v>5</c:v>
                      </c:pt>
                    </c:numCache>
                  </c:numRef>
                </c:val>
                <c:extLst>
                  <c:ext xmlns:c16="http://schemas.microsoft.com/office/drawing/2014/chart" uri="{C3380CC4-5D6E-409C-BE32-E72D297353CC}">
                    <c16:uniqueId val="{00000009-F732-4632-86CC-6A0C09D8A7C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Details'!$C$155</c15:sqref>
                        </c15:formulaRef>
                      </c:ext>
                    </c:extLst>
                    <c:strCache>
                      <c:ptCount val="1"/>
                      <c:pt idx="0">
                        <c:v>Funding Subtotal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Details'!$E$155:$F$155</c15:sqref>
                        </c15:formulaRef>
                      </c:ext>
                    </c:extLst>
                    <c:numCache>
                      <c:formatCode>0.0%</c:formatCode>
                      <c:ptCount val="2"/>
                      <c:pt idx="0">
                        <c:v>0.3957165235612965</c:v>
                      </c:pt>
                      <c:pt idx="1">
                        <c:v>0.3957165235612965</c:v>
                      </c:pt>
                    </c:numCache>
                  </c:numRef>
                </c:val>
                <c:extLst xmlns:c15="http://schemas.microsoft.com/office/drawing/2012/chart">
                  <c:ext xmlns:c16="http://schemas.microsoft.com/office/drawing/2014/chart" uri="{C3380CC4-5D6E-409C-BE32-E72D297353CC}">
                    <c16:uniqueId val="{0000000A-F732-4632-86CC-6A0C09D8A7C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Details'!$C$156</c15:sqref>
                        </c15:formulaRef>
                      </c:ext>
                    </c:extLst>
                    <c:strCache>
                      <c:ptCount val="1"/>
                      <c:pt idx="0">
                        <c:v>Facilities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Details'!$E$156:$F$156</c15:sqref>
                        </c15:formulaRef>
                      </c:ext>
                    </c:extLst>
                    <c:numCache>
                      <c:formatCode>0.0%</c:formatCode>
                      <c:ptCount val="2"/>
                      <c:pt idx="0">
                        <c:v>2.5333331199578892E-2</c:v>
                      </c:pt>
                      <c:pt idx="1">
                        <c:v>2.5333331199578892E-2</c:v>
                      </c:pt>
                    </c:numCache>
                  </c:numRef>
                </c:val>
                <c:extLst xmlns:c15="http://schemas.microsoft.com/office/drawing/2012/chart">
                  <c:ext xmlns:c16="http://schemas.microsoft.com/office/drawing/2014/chart" uri="{C3380CC4-5D6E-409C-BE32-E72D297353CC}">
                    <c16:uniqueId val="{0000000B-F732-4632-86CC-6A0C09D8A7C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Details'!$C$157</c15:sqref>
                        </c15:formulaRef>
                      </c:ext>
                    </c:extLst>
                    <c:strCache>
                      <c:ptCount val="1"/>
                      <c:pt idx="0">
                        <c:v>Financing 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Details'!$E$157:$F$157</c15:sqref>
                        </c15:formulaRef>
                      </c:ext>
                    </c:extLst>
                    <c:numCache>
                      <c:formatCode>0.0%</c:formatCode>
                      <c:ptCount val="2"/>
                      <c:pt idx="0">
                        <c:v>0</c:v>
                      </c:pt>
                      <c:pt idx="1">
                        <c:v>0</c:v>
                      </c:pt>
                    </c:numCache>
                  </c:numRef>
                </c:val>
                <c:extLst xmlns:c15="http://schemas.microsoft.com/office/drawing/2012/chart">
                  <c:ext xmlns:c16="http://schemas.microsoft.com/office/drawing/2014/chart" uri="{C3380CC4-5D6E-409C-BE32-E72D297353CC}">
                    <c16:uniqueId val="{0000000C-F732-4632-86CC-6A0C09D8A7C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Details'!$C$158</c15:sqref>
                        </c15:formulaRef>
                      </c:ext>
                    </c:extLst>
                    <c:strCache>
                      <c:ptCount val="1"/>
                      <c:pt idx="0">
                        <c:v>Facility Gap Funding Amount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Details'!$E$158:$F$158</c15:sqref>
                        </c15:formulaRef>
                      </c:ext>
                    </c:extLst>
                    <c:numCache>
                      <c:formatCode>"$"#,##0</c:formatCode>
                      <c:ptCount val="2"/>
                      <c:pt idx="0">
                        <c:v>138387505.52820262</c:v>
                      </c:pt>
                      <c:pt idx="1">
                        <c:v>138387505.52820262</c:v>
                      </c:pt>
                    </c:numCache>
                  </c:numRef>
                </c:val>
                <c:extLst xmlns:c15="http://schemas.microsoft.com/office/drawing/2012/chart">
                  <c:ext xmlns:c16="http://schemas.microsoft.com/office/drawing/2014/chart" uri="{C3380CC4-5D6E-409C-BE32-E72D297353CC}">
                    <c16:uniqueId val="{0000000D-F732-4632-86CC-6A0C09D8A7C9}"/>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Details'!$C$159</c15:sqref>
                        </c15:formulaRef>
                      </c:ext>
                    </c:extLst>
                    <c:strCache>
                      <c:ptCount val="1"/>
                      <c:pt idx="0">
                        <c:v>Per Student Facility Funding Gap</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Details'!$E$159:$F$159</c15:sqref>
                        </c15:formulaRef>
                      </c:ext>
                    </c:extLst>
                    <c:numCache>
                      <c:formatCode>"$"#,##0</c:formatCode>
                      <c:ptCount val="2"/>
                      <c:pt idx="0">
                        <c:v>1494.7669896805542</c:v>
                      </c:pt>
                      <c:pt idx="1">
                        <c:v>1494.7669896805542</c:v>
                      </c:pt>
                    </c:numCache>
                  </c:numRef>
                </c:val>
                <c:extLst xmlns:c15="http://schemas.microsoft.com/office/drawing/2012/chart">
                  <c:ext xmlns:c16="http://schemas.microsoft.com/office/drawing/2014/chart" uri="{C3380CC4-5D6E-409C-BE32-E72D297353CC}">
                    <c16:uniqueId val="{0000000E-F732-4632-86CC-6A0C09D8A7C9}"/>
                  </c:ext>
                </c:extLst>
              </c15:ser>
            </c15:filteredBarSeries>
          </c:ext>
        </c:extLst>
      </c:barChart>
      <c:barChart>
        <c:barDir val="col"/>
        <c:grouping val="stacked"/>
        <c:varyColors val="0"/>
        <c:ser>
          <c:idx val="8"/>
          <c:order val="8"/>
          <c:tx>
            <c:strRef>
              <c:f>'Data Details'!$C$172</c:f>
              <c:strCache>
                <c:ptCount val="1"/>
                <c:pt idx="0">
                  <c:v> Total</c:v>
                </c:pt>
              </c:strCache>
            </c:strRef>
          </c:tx>
          <c:spPr>
            <a:noFill/>
            <a:ln>
              <a:solidFill>
                <a:schemeClr val="tx1"/>
              </a:solidFill>
            </a:ln>
            <a:effectLst/>
          </c:spPr>
          <c:invertIfNegative val="0"/>
          <c:dLbls>
            <c:dLbl>
              <c:idx val="0"/>
              <c:layout>
                <c:manualLayout>
                  <c:x val="-2.8708129645009283E-3"/>
                  <c:y val="-0.30128670226425919"/>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732-4632-86CC-6A0C09D8A7C9}"/>
                </c:ext>
              </c:extLst>
            </c:dLbl>
            <c:dLbl>
              <c:idx val="1"/>
              <c:layout>
                <c:manualLayout>
                  <c:x val="-2.8708129645010337E-3"/>
                  <c:y val="-0.30416832834806917"/>
                </c:manualLayout>
              </c:layout>
              <c:dLblPos val="ct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F732-4632-86CC-6A0C09D8A7C9}"/>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'Data Details'!$E$172:$F$172</c:f>
              <c:numCache>
                <c:formatCode>#,##0</c:formatCode>
                <c:ptCount val="2"/>
                <c:pt idx="0">
                  <c:v>12</c:v>
                </c:pt>
                <c:pt idx="1">
                  <c:v>12</c:v>
                </c:pt>
              </c:numCache>
            </c:numRef>
          </c:val>
          <c:extLst>
            <c:ext xmlns:c16="http://schemas.microsoft.com/office/drawing/2014/chart" uri="{C3380CC4-5D6E-409C-BE32-E72D297353CC}">
              <c16:uniqueId val="{00000008-F732-4632-86CC-6A0C09D8A7C9}"/>
            </c:ext>
          </c:extLst>
        </c:ser>
        <c:dLbls>
          <c:showLegendKey val="0"/>
          <c:showVal val="0"/>
          <c:showCatName val="0"/>
          <c:showSerName val="0"/>
          <c:showPercent val="0"/>
          <c:showBubbleSize val="0"/>
        </c:dLbls>
        <c:gapWidth val="67"/>
        <c:overlap val="100"/>
        <c:axId val="863770848"/>
        <c:axId val="863766912"/>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
      </c:valAx>
      <c:valAx>
        <c:axId val="863766912"/>
        <c:scaling>
          <c:orientation val="minMax"/>
        </c:scaling>
        <c:delete val="1"/>
        <c:axPos val="r"/>
        <c:numFmt formatCode="#,##0" sourceLinked="1"/>
        <c:majorTickMark val="out"/>
        <c:minorTickMark val="none"/>
        <c:tickLblPos val="nextTo"/>
        <c:crossAx val="863770848"/>
        <c:crosses val="max"/>
        <c:crossBetween val="between"/>
      </c:valAx>
      <c:catAx>
        <c:axId val="863770848"/>
        <c:scaling>
          <c:orientation val="minMax"/>
        </c:scaling>
        <c:delete val="1"/>
        <c:axPos val="b"/>
        <c:majorTickMark val="out"/>
        <c:minorTickMark val="none"/>
        <c:tickLblPos val="nextTo"/>
        <c:crossAx val="86376691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a:t>Total</a:t>
            </a:r>
            <a:r>
              <a:rPr lang="en-US" baseline="0"/>
              <a:t> Charter School Funding</a:t>
            </a:r>
            <a:r>
              <a:rPr lang="en-US"/>
              <a:t> Gap</a:t>
            </a:r>
          </a:p>
        </c:rich>
      </c:tx>
      <c:overlay val="0"/>
      <c:spPr>
        <a:noFill/>
        <a:ln>
          <a:noFill/>
        </a:ln>
        <a:effectLst/>
      </c:spPr>
      <c:txPr>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724265621752361"/>
          <c:y val="0.13986444489865107"/>
          <c:w val="0.69738128082189366"/>
          <c:h val="0.83603903804193147"/>
        </c:manualLayout>
      </c:layout>
      <c:barChart>
        <c:barDir val="bar"/>
        <c:grouping val="stacked"/>
        <c:varyColors val="0"/>
        <c:ser>
          <c:idx val="6"/>
          <c:order val="4"/>
          <c:tx>
            <c:strRef>
              <c:f>'Data Details'!$C$174</c:f>
              <c:strCache>
                <c:ptCount val="1"/>
                <c:pt idx="0">
                  <c:v>Operating</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'Data Details'!$E$152:$F$152</c:f>
              <c:strCache>
                <c:ptCount val="2"/>
                <c:pt idx="0">
                  <c:v>Current
Policy</c:v>
                </c:pt>
                <c:pt idx="1">
                  <c:v>Revised
Policy</c:v>
                </c:pt>
              </c:strCache>
            </c:strRef>
          </c:cat>
          <c:val>
            <c:numRef>
              <c:f>'Data Details'!$E$174:$F$174</c:f>
              <c:numCache>
                <c:formatCode>"$"#,##0</c:formatCode>
                <c:ptCount val="2"/>
                <c:pt idx="0">
                  <c:v>92581323.031342387</c:v>
                </c:pt>
                <c:pt idx="1">
                  <c:v>92581323.031342387</c:v>
                </c:pt>
              </c:numCache>
            </c:numRef>
          </c:val>
          <c:extLst>
            <c:ext xmlns:c16="http://schemas.microsoft.com/office/drawing/2014/chart" uri="{C3380CC4-5D6E-409C-BE32-E72D297353CC}">
              <c16:uniqueId val="{00000000-2091-4F71-896A-B23055A9DBBF}"/>
            </c:ext>
          </c:extLst>
        </c:ser>
        <c:ser>
          <c:idx val="3"/>
          <c:order val="5"/>
          <c:tx>
            <c:strRef>
              <c:f>'Data Details'!$C$175</c:f>
              <c:strCache>
                <c:ptCount val="1"/>
                <c:pt idx="0">
                  <c:v>Facility</c:v>
                </c:pt>
              </c:strCache>
            </c:strRef>
          </c:tx>
          <c:spPr>
            <a:solidFill>
              <a:schemeClr val="accent6">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2-2091-4F71-896A-B23055A9DBBF}"/>
              </c:ext>
            </c:extLst>
          </c:dPt>
          <c:dPt>
            <c:idx val="1"/>
            <c:invertIfNegative val="0"/>
            <c:bubble3D val="0"/>
            <c:spPr>
              <a:solidFill>
                <a:srgbClr val="D59F0F"/>
              </a:solidFill>
              <a:ln>
                <a:noFill/>
              </a:ln>
              <a:effectLst/>
            </c:spPr>
            <c:extLst>
              <c:ext xmlns:c16="http://schemas.microsoft.com/office/drawing/2014/chart" uri="{C3380CC4-5D6E-409C-BE32-E72D297353CC}">
                <c16:uniqueId val="{00000004-2091-4F71-896A-B23055A9DBBF}"/>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'Data Details'!$E$152:$F$152</c:f>
              <c:strCache>
                <c:ptCount val="2"/>
                <c:pt idx="0">
                  <c:v>Current
Policy</c:v>
                </c:pt>
                <c:pt idx="1">
                  <c:v>Revised
Policy</c:v>
                </c:pt>
              </c:strCache>
            </c:strRef>
          </c:cat>
          <c:val>
            <c:numRef>
              <c:f>'Data Details'!$E$175:$F$175</c:f>
              <c:numCache>
                <c:formatCode>"$"#,##0</c:formatCode>
                <c:ptCount val="2"/>
                <c:pt idx="0">
                  <c:v>138387505.52820262</c:v>
                </c:pt>
                <c:pt idx="1">
                  <c:v>138387505.52820262</c:v>
                </c:pt>
              </c:numCache>
            </c:numRef>
          </c:val>
          <c:extLst xmlns:c15="http://schemas.microsoft.com/office/drawing/2012/chart">
            <c:ext xmlns:c16="http://schemas.microsoft.com/office/drawing/2014/chart" uri="{C3380CC4-5D6E-409C-BE32-E72D297353CC}">
              <c16:uniqueId val="{00000005-2091-4F71-896A-B23055A9DBBF}"/>
            </c:ext>
          </c:extLst>
        </c:ser>
        <c:dLbls>
          <c:showLegendKey val="0"/>
          <c:showVal val="0"/>
          <c:showCatName val="0"/>
          <c:showSerName val="0"/>
          <c:showPercent val="0"/>
          <c:showBubbleSize val="0"/>
        </c:dLbls>
        <c:gapWidth val="67"/>
        <c:overlap val="100"/>
        <c:axId val="357905120"/>
        <c:axId val="1924406016"/>
        <c:extLst>
          <c:ext xmlns:c15="http://schemas.microsoft.com/office/drawing/2012/chart" uri="{02D57815-91ED-43cb-92C2-25804820EDAC}">
            <c15:filteredBarSeries>
              <c15:ser>
                <c:idx val="0"/>
                <c:order val="0"/>
                <c:tx>
                  <c:strRef>
                    <c:extLst>
                      <c:ext uri="{02D57815-91ED-43cb-92C2-25804820EDAC}">
                        <c15:formulaRef>
                          <c15:sqref>'Facility Index Tool'!$C$13</c15:sqref>
                        </c15:formulaRef>
                      </c:ext>
                    </c:extLst>
                    <c:strCache>
                      <c:ptCount val="1"/>
                      <c:pt idx="0">
                        <c:v>Charter school enrollment</c:v>
                      </c:pt>
                    </c:strCache>
                  </c:strRef>
                </c:tx>
                <c:spPr>
                  <a:solidFill>
                    <a:schemeClr val="accent1"/>
                  </a:solidFill>
                  <a:ln>
                    <a:noFill/>
                  </a:ln>
                  <a:effectLst/>
                </c:spPr>
                <c:invertIfNegative val="0"/>
                <c:cat>
                  <c:strRef>
                    <c:extLst>
                      <c:ext uri="{02D57815-91ED-43cb-92C2-25804820EDAC}">
                        <c15:formulaRef>
                          <c15:sqref>'Data Details'!$E$152:$F$152</c15:sqref>
                        </c15:formulaRef>
                      </c:ext>
                    </c:extLst>
                    <c:strCache>
                      <c:ptCount val="2"/>
                      <c:pt idx="0">
                        <c:v>Current
Policy</c:v>
                      </c:pt>
                      <c:pt idx="1">
                        <c:v>Revised
Policy</c:v>
                      </c:pt>
                    </c:strCache>
                  </c:strRef>
                </c:cat>
                <c:val>
                  <c:numRef>
                    <c:extLst>
                      <c:ext uri="{02D57815-91ED-43cb-92C2-25804820EDAC}">
                        <c15:formulaRef>
                          <c15:sqref>'Facility Index Tool'!$D$13:$E$13</c15:sqref>
                        </c15:formulaRef>
                      </c:ext>
                    </c:extLst>
                    <c:numCache>
                      <c:formatCode>#,##0</c:formatCode>
                      <c:ptCount val="2"/>
                      <c:pt idx="0">
                        <c:v>84616.350380000003</c:v>
                      </c:pt>
                      <c:pt idx="1">
                        <c:v>92581.323031342385</c:v>
                      </c:pt>
                    </c:numCache>
                  </c:numRef>
                </c:val>
                <c:extLst>
                  <c:ext xmlns:c16="http://schemas.microsoft.com/office/drawing/2014/chart" uri="{C3380CC4-5D6E-409C-BE32-E72D297353CC}">
                    <c16:uniqueId val="{00000009-2091-4F71-896A-B23055A9DBB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'Facility Index Tool'!$C$14</c15:sqref>
                        </c15:formulaRef>
                      </c:ext>
                    </c:extLst>
                    <c:strCache>
                      <c:ptCount val="1"/>
                      <c:pt idx="0">
                        <c:v>Number of charter schools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'Facility Index Tool'!$D$14:$E$14</c15:sqref>
                        </c15:formulaRef>
                      </c:ext>
                    </c:extLst>
                    <c:numCache>
                      <c:formatCode>#,##0</c:formatCode>
                      <c:ptCount val="2"/>
                      <c:pt idx="0">
                        <c:v>317</c:v>
                      </c:pt>
                      <c:pt idx="1">
                        <c:v>341</c:v>
                      </c:pt>
                    </c:numCache>
                  </c:numRef>
                </c:val>
                <c:extLst xmlns:c15="http://schemas.microsoft.com/office/drawing/2012/chart">
                  <c:ext xmlns:c16="http://schemas.microsoft.com/office/drawing/2014/chart" uri="{C3380CC4-5D6E-409C-BE32-E72D297353CC}">
                    <c16:uniqueId val="{0000000A-2091-4F71-896A-B23055A9DBB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'Facility Index Tool'!$C$15</c15:sqref>
                        </c15:formulaRef>
                      </c:ext>
                    </c:extLst>
                    <c:strCache>
                      <c:ptCount val="1"/>
                      <c:pt idx="0">
                        <c:v>Charter School Facility Index</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'Facility Index Tool'!$D$15:$E$15</c15:sqref>
                        </c15:formulaRef>
                      </c:ext>
                    </c:extLst>
                    <c:numCache>
                      <c:formatCode>0.0%</c:formatCode>
                      <c:ptCount val="2"/>
                      <c:pt idx="0">
                        <c:v>0.51978576312352487</c:v>
                      </c:pt>
                      <c:pt idx="1">
                        <c:v>0.42104985476087536</c:v>
                      </c:pt>
                    </c:numCache>
                  </c:numRef>
                </c:val>
                <c:extLst xmlns:c15="http://schemas.microsoft.com/office/drawing/2012/chart">
                  <c:ext xmlns:c16="http://schemas.microsoft.com/office/drawing/2014/chart" uri="{C3380CC4-5D6E-409C-BE32-E72D297353CC}">
                    <c16:uniqueId val="{0000000B-2091-4F71-896A-B23055A9DBBF}"/>
                  </c:ext>
                </c:extLst>
              </c15:ser>
            </c15:filteredBarSeries>
            <c15:filteredBarSeries>
              <c15:ser>
                <c:idx val="4"/>
                <c:order val="3"/>
                <c:tx>
                  <c:strRef>
                    <c:extLst xmlns:c15="http://schemas.microsoft.com/office/drawing/2012/chart">
                      <c:ext xmlns:c15="http://schemas.microsoft.com/office/drawing/2012/chart" uri="{02D57815-91ED-43cb-92C2-25804820EDAC}">
                        <c15:formulaRef>
                          <c15:sqref>'Facility Index Tool'!$C$17</c15:sqref>
                        </c15:formulaRef>
                      </c:ext>
                    </c:extLst>
                    <c:strCache>
                      <c:ptCount val="1"/>
                      <c:pt idx="0">
                        <c:v>Facility gap per student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'Facility Index Tool'!$D$17:$E$17</c15:sqref>
                        </c15:formulaRef>
                      </c:ext>
                    </c:extLst>
                    <c:numCache>
                      <c:formatCode>"$"#,##0</c:formatCode>
                      <c:ptCount val="2"/>
                      <c:pt idx="0">
                        <c:v>971.45092737061793</c:v>
                      </c:pt>
                      <c:pt idx="1">
                        <c:v>1494.7669896805542</c:v>
                      </c:pt>
                    </c:numCache>
                  </c:numRef>
                </c:val>
                <c:extLst xmlns:c15="http://schemas.microsoft.com/office/drawing/2012/chart">
                  <c:ext xmlns:c16="http://schemas.microsoft.com/office/drawing/2014/chart" uri="{C3380CC4-5D6E-409C-BE32-E72D297353CC}">
                    <c16:uniqueId val="{0000000C-2091-4F71-896A-B23055A9DBBF}"/>
                  </c:ext>
                </c:extLst>
              </c15:ser>
            </c15:filteredBarSeries>
            <c15:filteredBarSeries>
              <c15:ser>
                <c:idx val="5"/>
                <c:order val="6"/>
                <c:tx>
                  <c:strRef>
                    <c:extLst xmlns:c15="http://schemas.microsoft.com/office/drawing/2012/chart">
                      <c:ext xmlns:c15="http://schemas.microsoft.com/office/drawing/2012/chart" uri="{02D57815-91ED-43cb-92C2-25804820EDAC}">
                        <c15:formulaRef>
                          <c15:sqref>'Facility Index Tool'!$C$18</c15:sqref>
                        </c15:formulaRef>
                      </c:ext>
                    </c:extLst>
                    <c:strCache>
                      <c:ptCount val="1"/>
                      <c:pt idx="0">
                        <c:v>Teachers that an average-sized charter school cannot hire because its facility are not needs fully met</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'Facility Index Tool'!$D$18:$E$18</c15:sqref>
                        </c15:formulaRef>
                      </c:ext>
                    </c:extLst>
                    <c:numCache>
                      <c:formatCode>0</c:formatCode>
                      <c:ptCount val="2"/>
                      <c:pt idx="0">
                        <c:v>4.5844911341736463</c:v>
                      </c:pt>
                      <c:pt idx="1">
                        <c:v>7.1749312605554687</c:v>
                      </c:pt>
                    </c:numCache>
                  </c:numRef>
                </c:val>
                <c:extLst xmlns:c15="http://schemas.microsoft.com/office/drawing/2012/chart">
                  <c:ext xmlns:c16="http://schemas.microsoft.com/office/drawing/2014/chart" uri="{C3380CC4-5D6E-409C-BE32-E72D297353CC}">
                    <c16:uniqueId val="{0000000D-2091-4F71-896A-B23055A9DBBF}"/>
                  </c:ext>
                </c:extLst>
              </c15:ser>
            </c15:filteredBarSeries>
          </c:ext>
        </c:extLst>
      </c:barChart>
      <c:barChart>
        <c:barDir val="bar"/>
        <c:grouping val="stacked"/>
        <c:varyColors val="0"/>
        <c:ser>
          <c:idx val="7"/>
          <c:order val="7"/>
          <c:tx>
            <c:strRef>
              <c:f>'Data Details'!$C$176</c:f>
              <c:strCache>
                <c:ptCount val="1"/>
                <c:pt idx="0">
                  <c:v>Total Gap</c:v>
                </c:pt>
              </c:strCache>
            </c:strRef>
          </c:tx>
          <c:spPr>
            <a:noFill/>
            <a:ln>
              <a:solidFill>
                <a:schemeClr val="tx1"/>
              </a:solidFill>
            </a:ln>
            <a:effectLst/>
          </c:spPr>
          <c:invertIfNegative val="0"/>
          <c:dLbls>
            <c:dLbl>
              <c:idx val="0"/>
              <c:layout>
                <c:manualLayout>
                  <c:x val="0.40849719253092948"/>
                  <c:y val="4.0139412215821214E-7"/>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2091-4F71-896A-B23055A9DBBF}"/>
                </c:ext>
              </c:extLst>
            </c:dLbl>
            <c:dLbl>
              <c:idx val="1"/>
              <c:layout>
                <c:manualLayout>
                  <c:x val="0.41093517730739421"/>
                  <c:y val="5.0981067443445502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091-4F71-896A-B23055A9DBB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dk1"/>
                    </a:solidFill>
                    <a:latin typeface="+mn-lt"/>
                    <a:ea typeface="+mn-ea"/>
                    <a:cs typeface="+mn-cs"/>
                  </a:defRPr>
                </a:pPr>
                <a:endParaRPr lang="en-US"/>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'Data Details'!$E$152:$F$152</c:f>
              <c:strCache>
                <c:ptCount val="2"/>
                <c:pt idx="0">
                  <c:v>Current
Policy</c:v>
                </c:pt>
                <c:pt idx="1">
                  <c:v>Revised
Policy</c:v>
                </c:pt>
              </c:strCache>
            </c:strRef>
          </c:cat>
          <c:val>
            <c:numRef>
              <c:f>'Data Details'!$E$176:$F$176</c:f>
              <c:numCache>
                <c:formatCode>"$"#,##0</c:formatCode>
                <c:ptCount val="2"/>
                <c:pt idx="0">
                  <c:v>230968828.55954501</c:v>
                </c:pt>
                <c:pt idx="1">
                  <c:v>230968828.55954501</c:v>
                </c:pt>
              </c:numCache>
            </c:numRef>
          </c:val>
          <c:extLst>
            <c:ext xmlns:c16="http://schemas.microsoft.com/office/drawing/2014/chart" uri="{C3380CC4-5D6E-409C-BE32-E72D297353CC}">
              <c16:uniqueId val="{00000008-2091-4F71-896A-B23055A9DBBF}"/>
            </c:ext>
          </c:extLst>
        </c:ser>
        <c:dLbls>
          <c:showLegendKey val="0"/>
          <c:showVal val="0"/>
          <c:showCatName val="0"/>
          <c:showSerName val="0"/>
          <c:showPercent val="0"/>
          <c:showBubbleSize val="0"/>
        </c:dLbls>
        <c:gapWidth val="67"/>
        <c:overlap val="100"/>
        <c:axId val="788007504"/>
        <c:axId val="787996024"/>
      </c:barChart>
      <c:catAx>
        <c:axId val="35790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1"/>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357905120"/>
        <c:crosses val="autoZero"/>
        <c:crossBetween val="between"/>
      </c:valAx>
      <c:valAx>
        <c:axId val="787996024"/>
        <c:scaling>
          <c:orientation val="minMax"/>
        </c:scaling>
        <c:delete val="1"/>
        <c:axPos val="t"/>
        <c:numFmt formatCode="&quot;$&quot;#,##0" sourceLinked="1"/>
        <c:majorTickMark val="out"/>
        <c:minorTickMark val="none"/>
        <c:tickLblPos val="nextTo"/>
        <c:crossAx val="788007504"/>
        <c:crosses val="autoZero"/>
        <c:crossBetween val="between"/>
      </c:valAx>
      <c:catAx>
        <c:axId val="788007504"/>
        <c:scaling>
          <c:orientation val="maxMin"/>
        </c:scaling>
        <c:delete val="1"/>
        <c:axPos val="r"/>
        <c:numFmt formatCode="General" sourceLinked="1"/>
        <c:majorTickMark val="out"/>
        <c:minorTickMark val="none"/>
        <c:tickLblPos val="nextTo"/>
        <c:crossAx val="787996024"/>
        <c:crosses val="max"/>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6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sng" strike="noStrike" kern="1200" spc="0" baseline="0">
                <a:solidFill>
                  <a:schemeClr val="tx1">
                    <a:lumMod val="65000"/>
                    <a:lumOff val="35000"/>
                  </a:schemeClr>
                </a:solidFill>
                <a:latin typeface="+mn-lt"/>
                <a:ea typeface="+mn-ea"/>
                <a:cs typeface="+mn-cs"/>
              </a:defRPr>
            </a:pPr>
            <a:r>
              <a:rPr lang="en-US" sz="2800" b="1" u="sng"/>
              <a:t>Indiana  Charter</a:t>
            </a:r>
            <a:r>
              <a:rPr lang="en-US" sz="2800" b="1" u="sng" baseline="0"/>
              <a:t> School Facility Index</a:t>
            </a:r>
            <a:endParaRPr lang="en-US" sz="2800" b="1" u="sng"/>
          </a:p>
        </c:rich>
      </c:tx>
      <c:overlay val="0"/>
      <c:spPr>
        <a:noFill/>
        <a:ln>
          <a:noFill/>
        </a:ln>
        <a:effectLst/>
      </c:spPr>
      <c:txPr>
        <a:bodyPr rot="0" spcFirstLastPara="1" vertOverflow="ellipsis" vert="horz" wrap="square" anchor="ctr" anchorCtr="1"/>
        <a:lstStyle/>
        <a:p>
          <a:pPr>
            <a:defRPr sz="28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06145583968929"/>
          <c:y val="0.11986549513578242"/>
          <c:w val="0.85854478571332948"/>
          <c:h val="0.67988786176545757"/>
        </c:manualLayout>
      </c:layout>
      <c:barChart>
        <c:barDir val="col"/>
        <c:grouping val="stacked"/>
        <c:varyColors val="0"/>
        <c:ser>
          <c:idx val="0"/>
          <c:order val="0"/>
          <c:tx>
            <c:strRef>
              <c:f>Analysis!$Y$48</c:f>
              <c:strCache>
                <c:ptCount val="1"/>
                <c:pt idx="0">
                  <c:v>Funding</c:v>
                </c:pt>
              </c:strCache>
            </c:strRef>
          </c:tx>
          <c:spPr>
            <a:solidFill>
              <a:schemeClr val="accent1">
                <a:lumMod val="75000"/>
              </a:schemeClr>
            </a:solidFill>
            <a:ln>
              <a:noFill/>
            </a:ln>
            <a:effectLst/>
          </c:spPr>
          <c:invertIfNegative val="0"/>
          <c:cat>
            <c:strRef>
              <c:f>(Analysis!$AA$47,Analysis!$AC$47)</c:f>
              <c:strCache>
                <c:ptCount val="2"/>
                <c:pt idx="0">
                  <c:v>Need Met in 5 Years</c:v>
                </c:pt>
                <c:pt idx="1">
                  <c:v>Revised
Policy</c:v>
                </c:pt>
              </c:strCache>
            </c:strRef>
          </c:cat>
          <c:val>
            <c:numRef>
              <c:f>(Analysis!$AA$48,Analysis!$AC$48)</c:f>
              <c:numCache>
                <c:formatCode>0.0%</c:formatCode>
                <c:ptCount val="2"/>
                <c:pt idx="0">
                  <c:v>0.3957165235612965</c:v>
                </c:pt>
                <c:pt idx="1">
                  <c:v>0.3957165235612965</c:v>
                </c:pt>
              </c:numCache>
            </c:numRef>
          </c:val>
          <c:extLst>
            <c:ext xmlns:c16="http://schemas.microsoft.com/office/drawing/2014/chart" uri="{C3380CC4-5D6E-409C-BE32-E72D297353CC}">
              <c16:uniqueId val="{00000000-7D48-4E8F-BCA7-319B51EDEF32}"/>
            </c:ext>
          </c:extLst>
        </c:ser>
        <c:ser>
          <c:idx val="1"/>
          <c:order val="1"/>
          <c:tx>
            <c:strRef>
              <c:f>Analysis!$Y$49</c:f>
              <c:strCache>
                <c:ptCount val="1"/>
                <c:pt idx="0">
                  <c:v>Facilities</c:v>
                </c:pt>
              </c:strCache>
            </c:strRef>
          </c:tx>
          <c:spPr>
            <a:solidFill>
              <a:srgbClr val="FF0000"/>
            </a:solidFill>
            <a:ln>
              <a:noFill/>
            </a:ln>
            <a:effectLst/>
          </c:spPr>
          <c:invertIfNegative val="0"/>
          <c:cat>
            <c:strRef>
              <c:f>(Analysis!$AA$47,Analysis!$AC$47)</c:f>
              <c:strCache>
                <c:ptCount val="2"/>
                <c:pt idx="0">
                  <c:v>Need Met in 5 Years</c:v>
                </c:pt>
                <c:pt idx="1">
                  <c:v>Revised
Policy</c:v>
                </c:pt>
              </c:strCache>
            </c:strRef>
          </c:cat>
          <c:val>
            <c:numRef>
              <c:f>(Analysis!$AA$49,Analysis!$AC$49)</c:f>
              <c:numCache>
                <c:formatCode>0.0%</c:formatCode>
                <c:ptCount val="2"/>
                <c:pt idx="0">
                  <c:v>2.5333331199578892E-2</c:v>
                </c:pt>
                <c:pt idx="1">
                  <c:v>2.5333331199578892E-2</c:v>
                </c:pt>
              </c:numCache>
            </c:numRef>
          </c:val>
          <c:extLst>
            <c:ext xmlns:c16="http://schemas.microsoft.com/office/drawing/2014/chart" uri="{C3380CC4-5D6E-409C-BE32-E72D297353CC}">
              <c16:uniqueId val="{00000001-7D48-4E8F-BCA7-319B51EDEF32}"/>
            </c:ext>
          </c:extLst>
        </c:ser>
        <c:ser>
          <c:idx val="2"/>
          <c:order val="2"/>
          <c:tx>
            <c:strRef>
              <c:f>Analysis!$Y$50</c:f>
              <c:strCache>
                <c:ptCount val="1"/>
                <c:pt idx="0">
                  <c:v>Financing</c:v>
                </c:pt>
              </c:strCache>
            </c:strRef>
          </c:tx>
          <c:spPr>
            <a:solidFill>
              <a:srgbClr val="00B050"/>
            </a:solidFill>
            <a:ln>
              <a:noFill/>
            </a:ln>
            <a:effectLst/>
          </c:spPr>
          <c:invertIfNegative val="0"/>
          <c:cat>
            <c:strRef>
              <c:f>(Analysis!$AA$47,Analysis!$AC$47)</c:f>
              <c:strCache>
                <c:ptCount val="2"/>
                <c:pt idx="0">
                  <c:v>Need Met in 5 Years</c:v>
                </c:pt>
                <c:pt idx="1">
                  <c:v>Revised
Policy</c:v>
                </c:pt>
              </c:strCache>
            </c:strRef>
          </c:cat>
          <c:val>
            <c:numRef>
              <c:f>(Analysis!$AA$50,Analysis!$AC$50)</c:f>
              <c:numCache>
                <c:formatCode>0.0%</c:formatCode>
                <c:ptCount val="2"/>
                <c:pt idx="0">
                  <c:v>0</c:v>
                </c:pt>
                <c:pt idx="1">
                  <c:v>0</c:v>
                </c:pt>
              </c:numCache>
            </c:numRef>
          </c:val>
          <c:extLst>
            <c:ext xmlns:c16="http://schemas.microsoft.com/office/drawing/2014/chart" uri="{C3380CC4-5D6E-409C-BE32-E72D297353CC}">
              <c16:uniqueId val="{00000002-7D48-4E8F-BCA7-319B51EDEF32}"/>
            </c:ext>
          </c:extLst>
        </c:ser>
        <c:dLbls>
          <c:showLegendKey val="0"/>
          <c:showVal val="0"/>
          <c:showCatName val="0"/>
          <c:showSerName val="0"/>
          <c:showPercent val="0"/>
          <c:showBubbleSize val="0"/>
        </c:dLbls>
        <c:gapWidth val="45"/>
        <c:overlap val="100"/>
        <c:axId val="669119632"/>
        <c:axId val="669113728"/>
      </c:barChart>
      <c:barChart>
        <c:barDir val="col"/>
        <c:grouping val="stacked"/>
        <c:varyColors val="0"/>
        <c:ser>
          <c:idx val="3"/>
          <c:order val="3"/>
          <c:spPr>
            <a:noFill/>
            <a:ln w="34925">
              <a:solidFill>
                <a:schemeClr val="tx1"/>
              </a:solidFill>
            </a:ln>
            <a:effectLst/>
          </c:spPr>
          <c:invertIfNegative val="0"/>
          <c:dLbls>
            <c:dLbl>
              <c:idx val="0"/>
              <c:layout>
                <c:manualLayout>
                  <c:x val="1.1725768889019121E-2"/>
                  <c:y val="-0.2247728728475954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D48-4E8F-BCA7-319B51EDEF32}"/>
                </c:ext>
              </c:extLst>
            </c:dLbl>
            <c:dLbl>
              <c:idx val="1"/>
              <c:layout>
                <c:manualLayout>
                  <c:x val="2.9314422222547938E-3"/>
                  <c:y val="-0.2227533287493393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D48-4E8F-BCA7-319B51EDEF32}"/>
                </c:ext>
              </c:extLst>
            </c:dLbl>
            <c:spPr>
              <a:no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(Analysis!$AA$47,Analysis!$AC$47)</c:f>
              <c:strCache>
                <c:ptCount val="2"/>
                <c:pt idx="0">
                  <c:v>Need Met in 5 Years</c:v>
                </c:pt>
                <c:pt idx="1">
                  <c:v>Revised
Policy</c:v>
                </c:pt>
              </c:strCache>
            </c:strRef>
          </c:cat>
          <c:val>
            <c:numRef>
              <c:f>(Analysis!$AA$51,Analysis!$AC$51)</c:f>
              <c:numCache>
                <c:formatCode>0.0%</c:formatCode>
                <c:ptCount val="2"/>
                <c:pt idx="0">
                  <c:v>0.42104985476087536</c:v>
                </c:pt>
                <c:pt idx="1">
                  <c:v>0.42104985476087536</c:v>
                </c:pt>
              </c:numCache>
            </c:numRef>
          </c:val>
          <c:extLst>
            <c:ext xmlns:c16="http://schemas.microsoft.com/office/drawing/2014/chart" uri="{C3380CC4-5D6E-409C-BE32-E72D297353CC}">
              <c16:uniqueId val="{00000010-7D48-4E8F-BCA7-319B51EDEF32}"/>
            </c:ext>
          </c:extLst>
        </c:ser>
        <c:dLbls>
          <c:showLegendKey val="0"/>
          <c:showVal val="0"/>
          <c:showCatName val="0"/>
          <c:showSerName val="0"/>
          <c:showPercent val="0"/>
          <c:showBubbleSize val="0"/>
        </c:dLbls>
        <c:gapWidth val="45"/>
        <c:overlap val="100"/>
        <c:axId val="386049344"/>
        <c:axId val="386048360"/>
      </c:barChart>
      <c:catAx>
        <c:axId val="66911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669113728"/>
        <c:crosses val="autoZero"/>
        <c:auto val="1"/>
        <c:lblAlgn val="ctr"/>
        <c:lblOffset val="100"/>
        <c:noMultiLvlLbl val="0"/>
      </c:catAx>
      <c:valAx>
        <c:axId val="669113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69119632"/>
        <c:crosses val="autoZero"/>
        <c:crossBetween val="between"/>
      </c:valAx>
      <c:valAx>
        <c:axId val="386048360"/>
        <c:scaling>
          <c:orientation val="minMax"/>
          <c:max val="1"/>
        </c:scaling>
        <c:delete val="1"/>
        <c:axPos val="r"/>
        <c:numFmt formatCode="0.0%" sourceLinked="1"/>
        <c:majorTickMark val="out"/>
        <c:minorTickMark val="none"/>
        <c:tickLblPos val="nextTo"/>
        <c:crossAx val="386049344"/>
        <c:crosses val="max"/>
        <c:crossBetween val="between"/>
      </c:valAx>
      <c:catAx>
        <c:axId val="386049344"/>
        <c:scaling>
          <c:orientation val="minMax"/>
        </c:scaling>
        <c:delete val="1"/>
        <c:axPos val="b"/>
        <c:numFmt formatCode="General" sourceLinked="1"/>
        <c:majorTickMark val="out"/>
        <c:minorTickMark val="none"/>
        <c:tickLblPos val="nextTo"/>
        <c:crossAx val="386048360"/>
        <c:crosses val="autoZero"/>
        <c:auto val="1"/>
        <c:lblAlgn val="ctr"/>
        <c:lblOffset val="100"/>
        <c:noMultiLvlLbl val="0"/>
      </c:catAx>
      <c:spPr>
        <a:noFill/>
        <a:ln>
          <a:noFill/>
        </a:ln>
        <a:effectLst/>
      </c:spPr>
    </c:plotArea>
    <c:legend>
      <c:legendPos val="b"/>
      <c:legendEntry>
        <c:idx val="3"/>
        <c:delete val="1"/>
      </c:legendEntry>
      <c:overlay val="0"/>
      <c:spPr>
        <a:noFill/>
        <a:ln>
          <a:solidFill>
            <a:schemeClr val="tx1"/>
          </a:solidFill>
        </a:ln>
        <a:effectLst/>
      </c:spPr>
      <c:txPr>
        <a:bodyPr rot="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4400" b="1" i="0" u="sng" strike="noStrike" kern="1200" spc="0" baseline="0">
                <a:solidFill>
                  <a:schemeClr val="tx1">
                    <a:lumMod val="65000"/>
                    <a:lumOff val="35000"/>
                  </a:schemeClr>
                </a:solidFill>
                <a:latin typeface="+mn-lt"/>
                <a:ea typeface="+mn-ea"/>
                <a:cs typeface="+mn-cs"/>
              </a:defRPr>
            </a:pPr>
            <a:r>
              <a:rPr lang="en-US" sz="4400" b="1" u="sng"/>
              <a:t>Figure 1: Ohio Charter</a:t>
            </a:r>
            <a:r>
              <a:rPr lang="en-US" sz="4400" b="1" u="sng" baseline="0"/>
              <a:t> School Facility Index</a:t>
            </a:r>
            <a:endParaRPr lang="en-US" sz="4400" b="1" u="sng"/>
          </a:p>
        </c:rich>
      </c:tx>
      <c:overlay val="0"/>
      <c:spPr>
        <a:noFill/>
        <a:ln>
          <a:noFill/>
        </a:ln>
        <a:effectLst/>
      </c:spPr>
      <c:txPr>
        <a:bodyPr rot="0" spcFirstLastPara="1" vertOverflow="ellipsis" vert="horz" wrap="square" anchor="ctr" anchorCtr="1"/>
        <a:lstStyle/>
        <a:p>
          <a:pPr>
            <a:defRPr sz="4400" b="1" i="0" u="sng"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280378081435236"/>
          <c:y val="0.1339540667994949"/>
          <c:w val="0.85854478571332948"/>
          <c:h val="0.43100019802239087"/>
        </c:manualLayout>
      </c:layout>
      <c:barChart>
        <c:barDir val="col"/>
        <c:grouping val="stacked"/>
        <c:varyColors val="0"/>
        <c:ser>
          <c:idx val="0"/>
          <c:order val="0"/>
          <c:tx>
            <c:strRef>
              <c:f>Analysis!$Y$28</c:f>
              <c:strCache>
                <c:ptCount val="1"/>
                <c:pt idx="0">
                  <c:v>Funding</c:v>
                </c:pt>
              </c:strCache>
            </c:strRef>
          </c:tx>
          <c:spPr>
            <a:solidFill>
              <a:schemeClr val="accent1">
                <a:lumMod val="75000"/>
              </a:schemeClr>
            </a:solidFill>
            <a:ln>
              <a:solidFill>
                <a:schemeClr val="tx1">
                  <a:lumMod val="95000"/>
                  <a:lumOff val="5000"/>
                </a:schemeClr>
              </a:solidFill>
            </a:ln>
            <a:effectLst/>
          </c:spPr>
          <c:invertIfNegative val="0"/>
          <c:cat>
            <c:strRef>
              <c:f>Analysis!$Z$47:$AA$47</c:f>
              <c:strCache>
                <c:ptCount val="2"/>
                <c:pt idx="0">
                  <c:v>Existing Need Met</c:v>
                </c:pt>
                <c:pt idx="1">
                  <c:v>Need Met in 5 Years</c:v>
                </c:pt>
              </c:strCache>
            </c:strRef>
          </c:cat>
          <c:val>
            <c:numRef>
              <c:f>Analysis!$Z$28:$AA$28</c:f>
              <c:numCache>
                <c:formatCode>0.0%</c:formatCode>
                <c:ptCount val="2"/>
                <c:pt idx="0">
                  <c:v>0.49369663932353541</c:v>
                </c:pt>
                <c:pt idx="1">
                  <c:v>0.3957165235612965</c:v>
                </c:pt>
              </c:numCache>
            </c:numRef>
          </c:val>
          <c:extLst>
            <c:ext xmlns:c16="http://schemas.microsoft.com/office/drawing/2014/chart" uri="{C3380CC4-5D6E-409C-BE32-E72D297353CC}">
              <c16:uniqueId val="{00000000-2550-4702-AFFB-6917D486014C}"/>
            </c:ext>
          </c:extLst>
        </c:ser>
        <c:ser>
          <c:idx val="1"/>
          <c:order val="1"/>
          <c:tx>
            <c:strRef>
              <c:f>Analysis!$Y$29</c:f>
              <c:strCache>
                <c:ptCount val="1"/>
                <c:pt idx="0">
                  <c:v>Facilities</c:v>
                </c:pt>
              </c:strCache>
            </c:strRef>
          </c:tx>
          <c:spPr>
            <a:solidFill>
              <a:srgbClr val="FF0000"/>
            </a:solidFill>
            <a:ln>
              <a:noFill/>
            </a:ln>
            <a:effectLst/>
          </c:spPr>
          <c:invertIfNegative val="0"/>
          <c:cat>
            <c:strRef>
              <c:f>Analysis!$Z$47:$AA$47</c:f>
              <c:strCache>
                <c:ptCount val="2"/>
                <c:pt idx="0">
                  <c:v>Existing Need Met</c:v>
                </c:pt>
                <c:pt idx="1">
                  <c:v>Need Met in 5 Years</c:v>
                </c:pt>
              </c:strCache>
            </c:strRef>
          </c:cat>
          <c:val>
            <c:numRef>
              <c:f>Analysis!$Z$29:$AA$29</c:f>
              <c:numCache>
                <c:formatCode>0.0%</c:formatCode>
                <c:ptCount val="2"/>
                <c:pt idx="0">
                  <c:v>2.6089123799989421E-2</c:v>
                </c:pt>
                <c:pt idx="1">
                  <c:v>2.5333331199578892E-2</c:v>
                </c:pt>
              </c:numCache>
            </c:numRef>
          </c:val>
          <c:extLst>
            <c:ext xmlns:c16="http://schemas.microsoft.com/office/drawing/2014/chart" uri="{C3380CC4-5D6E-409C-BE32-E72D297353CC}">
              <c16:uniqueId val="{00000001-2550-4702-AFFB-6917D486014C}"/>
            </c:ext>
          </c:extLst>
        </c:ser>
        <c:ser>
          <c:idx val="2"/>
          <c:order val="2"/>
          <c:tx>
            <c:strRef>
              <c:f>Analysis!$Y$30</c:f>
              <c:strCache>
                <c:ptCount val="1"/>
                <c:pt idx="0">
                  <c:v>Financing</c:v>
                </c:pt>
              </c:strCache>
            </c:strRef>
          </c:tx>
          <c:spPr>
            <a:solidFill>
              <a:schemeClr val="accent6">
                <a:lumMod val="75000"/>
              </a:schemeClr>
            </a:solidFill>
            <a:ln>
              <a:noFill/>
            </a:ln>
            <a:effectLst/>
          </c:spPr>
          <c:invertIfNegative val="0"/>
          <c:cat>
            <c:strRef>
              <c:f>Analysis!$Z$47:$AA$47</c:f>
              <c:strCache>
                <c:ptCount val="2"/>
                <c:pt idx="0">
                  <c:v>Existing Need Met</c:v>
                </c:pt>
                <c:pt idx="1">
                  <c:v>Need Met in 5 Years</c:v>
                </c:pt>
              </c:strCache>
            </c:strRef>
          </c:cat>
          <c:val>
            <c:numRef>
              <c:f>Analysis!$Z$30:$AA$30</c:f>
              <c:numCache>
                <c:formatCode>0.0%</c:formatCode>
                <c:ptCount val="2"/>
                <c:pt idx="0">
                  <c:v>0</c:v>
                </c:pt>
                <c:pt idx="1">
                  <c:v>0</c:v>
                </c:pt>
              </c:numCache>
            </c:numRef>
          </c:val>
          <c:extLst>
            <c:ext xmlns:c16="http://schemas.microsoft.com/office/drawing/2014/chart" uri="{C3380CC4-5D6E-409C-BE32-E72D297353CC}">
              <c16:uniqueId val="{00000002-2550-4702-AFFB-6917D486014C}"/>
            </c:ext>
          </c:extLst>
        </c:ser>
        <c:dLbls>
          <c:showLegendKey val="0"/>
          <c:showVal val="0"/>
          <c:showCatName val="0"/>
          <c:showSerName val="0"/>
          <c:showPercent val="0"/>
          <c:showBubbleSize val="0"/>
        </c:dLbls>
        <c:gapWidth val="45"/>
        <c:overlap val="100"/>
        <c:axId val="669119632"/>
        <c:axId val="669113728"/>
      </c:barChart>
      <c:barChart>
        <c:barDir val="col"/>
        <c:grouping val="stacked"/>
        <c:varyColors val="0"/>
        <c:ser>
          <c:idx val="3"/>
          <c:order val="3"/>
          <c:tx>
            <c:strRef>
              <c:f>Analysis!$Y$31</c:f>
              <c:strCache>
                <c:ptCount val="1"/>
                <c:pt idx="0">
                  <c:v>Total</c:v>
                </c:pt>
              </c:strCache>
            </c:strRef>
          </c:tx>
          <c:spPr>
            <a:noFill/>
            <a:ln w="38100">
              <a:solidFill>
                <a:schemeClr val="tx1"/>
              </a:solidFill>
            </a:ln>
            <a:effectLst/>
          </c:spPr>
          <c:invertIfNegative val="0"/>
          <c:dLbls>
            <c:dLbl>
              <c:idx val="0"/>
              <c:layout>
                <c:manualLayout>
                  <c:x val="-6.3485098832244732E-3"/>
                  <c:y val="-0.1639899270265827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50-4702-AFFB-6917D486014C}"/>
                </c:ext>
              </c:extLst>
            </c:dLbl>
            <c:dLbl>
              <c:idx val="1"/>
              <c:layout>
                <c:manualLayout>
                  <c:x val="-6.8477322498649911E-3"/>
                  <c:y val="-0.1549892988461272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50-4702-AFFB-6917D486014C}"/>
                </c:ext>
              </c:extLst>
            </c:dLbl>
            <c:spPr>
              <a:noFill/>
              <a:ln>
                <a:noFill/>
              </a:ln>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Analysis!$Z$31:$AA$31</c:f>
              <c:numCache>
                <c:formatCode>0.0%</c:formatCode>
                <c:ptCount val="2"/>
                <c:pt idx="0">
                  <c:v>0.51978576312352487</c:v>
                </c:pt>
                <c:pt idx="1">
                  <c:v>0.42104985476087536</c:v>
                </c:pt>
              </c:numCache>
            </c:numRef>
          </c:val>
          <c:extLst>
            <c:ext xmlns:c16="http://schemas.microsoft.com/office/drawing/2014/chart" uri="{C3380CC4-5D6E-409C-BE32-E72D297353CC}">
              <c16:uniqueId val="{00000005-2550-4702-AFFB-6917D486014C}"/>
            </c:ext>
          </c:extLst>
        </c:ser>
        <c:dLbls>
          <c:showLegendKey val="0"/>
          <c:showVal val="0"/>
          <c:showCatName val="0"/>
          <c:showSerName val="0"/>
          <c:showPercent val="0"/>
          <c:showBubbleSize val="0"/>
        </c:dLbls>
        <c:gapWidth val="45"/>
        <c:overlap val="100"/>
        <c:axId val="681118760"/>
        <c:axId val="681115152"/>
      </c:barChart>
      <c:catAx>
        <c:axId val="66911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669113728"/>
        <c:crosses val="autoZero"/>
        <c:auto val="1"/>
        <c:lblAlgn val="ctr"/>
        <c:lblOffset val="100"/>
        <c:noMultiLvlLbl val="0"/>
      </c:catAx>
      <c:valAx>
        <c:axId val="669113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669119632"/>
        <c:crosses val="autoZero"/>
        <c:crossBetween val="between"/>
      </c:valAx>
      <c:valAx>
        <c:axId val="681115152"/>
        <c:scaling>
          <c:orientation val="minMax"/>
        </c:scaling>
        <c:delete val="1"/>
        <c:axPos val="r"/>
        <c:numFmt formatCode="0.0%" sourceLinked="1"/>
        <c:majorTickMark val="out"/>
        <c:minorTickMark val="none"/>
        <c:tickLblPos val="nextTo"/>
        <c:crossAx val="681118760"/>
        <c:crosses val="max"/>
        <c:crossBetween val="between"/>
      </c:valAx>
      <c:catAx>
        <c:axId val="681118760"/>
        <c:scaling>
          <c:orientation val="minMax"/>
        </c:scaling>
        <c:delete val="1"/>
        <c:axPos val="b"/>
        <c:numFmt formatCode="General" sourceLinked="1"/>
        <c:majorTickMark val="out"/>
        <c:minorTickMark val="none"/>
        <c:tickLblPos val="nextTo"/>
        <c:crossAx val="681115152"/>
        <c:crosses val="autoZero"/>
        <c:auto val="1"/>
        <c:lblAlgn val="ctr"/>
        <c:lblOffset val="100"/>
        <c:noMultiLvlLbl val="0"/>
      </c:cat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2800" b="1"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Details'!$C$152</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Details'!$D$151:$E$151</c:f>
              <c:numCache>
                <c:formatCode>General</c:formatCode>
                <c:ptCount val="2"/>
              </c:numCache>
            </c:numRef>
          </c:cat>
          <c:val>
            <c:numRef>
              <c:f>'Data Details'!$E$152:$F$152</c:f>
              <c:numCache>
                <c:formatCode>General</c:formatCode>
                <c:ptCount val="2"/>
                <c:pt idx="0">
                  <c:v>0</c:v>
                </c:pt>
                <c:pt idx="1">
                  <c:v>0</c:v>
                </c:pt>
              </c:numCache>
            </c:numRef>
          </c:val>
          <c:extLst>
            <c:ext xmlns:c16="http://schemas.microsoft.com/office/drawing/2014/chart" uri="{C3380CC4-5D6E-409C-BE32-E72D297353CC}">
              <c16:uniqueId val="{00000000-3490-44E2-BAFB-136317857342}"/>
            </c:ext>
          </c:extLst>
        </c:ser>
        <c:dLbls>
          <c:showLegendKey val="0"/>
          <c:showVal val="0"/>
          <c:showCatName val="0"/>
          <c:showSerName val="0"/>
          <c:showPercent val="0"/>
          <c:showBubbleSize val="0"/>
        </c:dLbls>
        <c:gapWidth val="219"/>
        <c:overlap val="-27"/>
        <c:axId val="357905120"/>
        <c:axId val="1924406016"/>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Need Met by Category</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1"/>
          <c:order val="1"/>
          <c:tx>
            <c:strRef>
              <c:f>'Data Details'!$C$154</c:f>
              <c:strCache>
                <c:ptCount val="1"/>
                <c:pt idx="0">
                  <c:v>Total Need Unmet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Details'!$D$151:$E$151</c:f>
              <c:numCache>
                <c:formatCode>General</c:formatCode>
                <c:ptCount val="2"/>
              </c:numCache>
            </c:numRef>
          </c:cat>
          <c:val>
            <c:numRef>
              <c:f>'Data Details'!$E$154:$F$154</c:f>
              <c:numCache>
                <c:formatCode>0.0%</c:formatCode>
                <c:ptCount val="2"/>
                <c:pt idx="0">
                  <c:v>0.57895014523912458</c:v>
                </c:pt>
                <c:pt idx="1">
                  <c:v>0.57895014523912458</c:v>
                </c:pt>
              </c:numCache>
            </c:numRef>
          </c:val>
          <c:extLst>
            <c:ext xmlns:c16="http://schemas.microsoft.com/office/drawing/2014/chart" uri="{C3380CC4-5D6E-409C-BE32-E72D297353CC}">
              <c16:uniqueId val="{00000000-290B-422E-8C2F-D9D6E4EBA8BF}"/>
            </c:ext>
          </c:extLst>
        </c:ser>
        <c:ser>
          <c:idx val="2"/>
          <c:order val="2"/>
          <c:tx>
            <c:strRef>
              <c:f>'Data Details'!$C$155</c:f>
              <c:strCache>
                <c:ptCount val="1"/>
                <c:pt idx="0">
                  <c:v>Funding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Details'!$D$151:$E$151</c:f>
              <c:numCache>
                <c:formatCode>General</c:formatCode>
                <c:ptCount val="2"/>
              </c:numCache>
            </c:numRef>
          </c:cat>
          <c:val>
            <c:numRef>
              <c:f>'Data Details'!$E$155:$F$155</c:f>
              <c:numCache>
                <c:formatCode>0.0%</c:formatCode>
                <c:ptCount val="2"/>
                <c:pt idx="0">
                  <c:v>0.3957165235612965</c:v>
                </c:pt>
                <c:pt idx="1">
                  <c:v>0.3957165235612965</c:v>
                </c:pt>
              </c:numCache>
            </c:numRef>
          </c:val>
          <c:extLst>
            <c:ext xmlns:c16="http://schemas.microsoft.com/office/drawing/2014/chart" uri="{C3380CC4-5D6E-409C-BE32-E72D297353CC}">
              <c16:uniqueId val="{00000001-290B-422E-8C2F-D9D6E4EBA8BF}"/>
            </c:ext>
          </c:extLst>
        </c:ser>
        <c:ser>
          <c:idx val="3"/>
          <c:order val="3"/>
          <c:tx>
            <c:strRef>
              <c:f>'Data Details'!$C$156</c:f>
              <c:strCache>
                <c:ptCount val="1"/>
                <c:pt idx="0">
                  <c:v>Facilities Subtotal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Details'!$D$151:$E$151</c:f>
              <c:numCache>
                <c:formatCode>General</c:formatCode>
                <c:ptCount val="2"/>
              </c:numCache>
            </c:numRef>
          </c:cat>
          <c:val>
            <c:numRef>
              <c:f>'Data Details'!$E$156:$F$156</c:f>
              <c:numCache>
                <c:formatCode>0.0%</c:formatCode>
                <c:ptCount val="2"/>
                <c:pt idx="0">
                  <c:v>2.5333331199578892E-2</c:v>
                </c:pt>
                <c:pt idx="1">
                  <c:v>2.5333331199578892E-2</c:v>
                </c:pt>
              </c:numCache>
            </c:numRef>
          </c:val>
          <c:extLst>
            <c:ext xmlns:c16="http://schemas.microsoft.com/office/drawing/2014/chart" uri="{C3380CC4-5D6E-409C-BE32-E72D297353CC}">
              <c16:uniqueId val="{00000002-290B-422E-8C2F-D9D6E4EBA8BF}"/>
            </c:ext>
          </c:extLst>
        </c:ser>
        <c:dLbls>
          <c:showLegendKey val="0"/>
          <c:showVal val="0"/>
          <c:showCatName val="0"/>
          <c:showSerName val="0"/>
          <c:showPercent val="0"/>
          <c:showBubbleSize val="0"/>
        </c:dLbls>
        <c:gapWidth val="219"/>
        <c:overlap val="100"/>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Details'!$C$152</c15:sqref>
                        </c15:formulaRef>
                      </c:ext>
                    </c:extLst>
                    <c:strCache>
                      <c:ptCount val="1"/>
                    </c:strCache>
                  </c:strRef>
                </c:tx>
                <c:spPr>
                  <a:solidFill>
                    <a:schemeClr val="accent1"/>
                  </a:solidFill>
                  <a:ln>
                    <a:noFill/>
                  </a:ln>
                  <a:effectLst/>
                </c:spPr>
                <c:invertIfNegative val="0"/>
                <c:cat>
                  <c:numRef>
                    <c:extLst>
                      <c:ext uri="{02D57815-91ED-43cb-92C2-25804820EDAC}">
                        <c15:formulaRef>
                          <c15:sqref>'Data Details'!$D$151:$E$151</c15:sqref>
                        </c15:formulaRef>
                      </c:ext>
                    </c:extLst>
                    <c:numCache>
                      <c:formatCode>General</c:formatCode>
                      <c:ptCount val="2"/>
                    </c:numCache>
                  </c:numRef>
                </c:cat>
                <c:val>
                  <c:numRef>
                    <c:extLst>
                      <c:ext uri="{02D57815-91ED-43cb-92C2-25804820EDAC}">
                        <c15:formulaRef>
                          <c15:sqref>'Data Details'!$E$152:$F$152</c15:sqref>
                        </c15:formulaRef>
                      </c:ext>
                    </c:extLst>
                    <c:numCache>
                      <c:formatCode>General</c:formatCode>
                      <c:ptCount val="2"/>
                      <c:pt idx="0">
                        <c:v>0</c:v>
                      </c:pt>
                      <c:pt idx="1">
                        <c:v>0</c:v>
                      </c:pt>
                    </c:numCache>
                  </c:numRef>
                </c:val>
                <c:extLst>
                  <c:ext xmlns:c16="http://schemas.microsoft.com/office/drawing/2014/chart" uri="{C3380CC4-5D6E-409C-BE32-E72D297353CC}">
                    <c16:uniqueId val="{00000003-290B-422E-8C2F-D9D6E4EBA8BF}"/>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Details'!$C$152</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Details'!$D$151:$E$151</c:f>
              <c:numCache>
                <c:formatCode>General</c:formatCode>
                <c:ptCount val="2"/>
              </c:numCache>
            </c:numRef>
          </c:cat>
          <c:val>
            <c:numRef>
              <c:f>'Data Details'!$E$152:$F$152</c:f>
              <c:numCache>
                <c:formatCode>General</c:formatCode>
                <c:ptCount val="2"/>
                <c:pt idx="0">
                  <c:v>0</c:v>
                </c:pt>
                <c:pt idx="1">
                  <c:v>0</c:v>
                </c:pt>
              </c:numCache>
            </c:numRef>
          </c:val>
          <c:extLst>
            <c:ext xmlns:c16="http://schemas.microsoft.com/office/drawing/2014/chart" uri="{C3380CC4-5D6E-409C-BE32-E72D297353CC}">
              <c16:uniqueId val="{00000000-7481-4409-9481-5FE932E1BAED}"/>
            </c:ext>
          </c:extLst>
        </c:ser>
        <c:dLbls>
          <c:showLegendKey val="0"/>
          <c:showVal val="0"/>
          <c:showCatName val="0"/>
          <c:showSerName val="0"/>
          <c:showPercent val="0"/>
          <c:showBubbleSize val="0"/>
        </c:dLbls>
        <c:gapWidth val="219"/>
        <c:overlap val="-27"/>
        <c:axId val="357905120"/>
        <c:axId val="1924406016"/>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Total Need Met by Category</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5"/>
          <c:order val="5"/>
          <c:tx>
            <c:strRef>
              <c:f>'Data Details'!$C$158</c:f>
              <c:strCache>
                <c:ptCount val="1"/>
                <c:pt idx="0">
                  <c:v>Facility Gap Funding Amount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Details'!$D$151:$E$151</c:f>
              <c:numCache>
                <c:formatCode>General</c:formatCode>
                <c:ptCount val="2"/>
              </c:numCache>
            </c:numRef>
          </c:cat>
          <c:val>
            <c:numRef>
              <c:f>'Data Details'!$E$158:$F$158</c:f>
              <c:numCache>
                <c:formatCode>"$"#,##0</c:formatCode>
                <c:ptCount val="2"/>
                <c:pt idx="0">
                  <c:v>138387505.52820262</c:v>
                </c:pt>
                <c:pt idx="1">
                  <c:v>138387505.52820262</c:v>
                </c:pt>
              </c:numCache>
            </c:numRef>
          </c:val>
          <c:extLst>
            <c:ext xmlns:c16="http://schemas.microsoft.com/office/drawing/2014/chart" uri="{C3380CC4-5D6E-409C-BE32-E72D297353CC}">
              <c16:uniqueId val="{00000000-FC6D-4DC0-87F1-86DAAB22B52D}"/>
            </c:ext>
          </c:extLst>
        </c:ser>
        <c:dLbls>
          <c:showLegendKey val="0"/>
          <c:showVal val="0"/>
          <c:showCatName val="0"/>
          <c:showSerName val="0"/>
          <c:showPercent val="0"/>
          <c:showBubbleSize val="0"/>
        </c:dLbls>
        <c:gapWidth val="219"/>
        <c:overlap val="100"/>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Details'!$C$152</c15:sqref>
                        </c15:formulaRef>
                      </c:ext>
                    </c:extLst>
                    <c:strCache>
                      <c:ptCount val="1"/>
                    </c:strCache>
                  </c:strRef>
                </c:tx>
                <c:spPr>
                  <a:solidFill>
                    <a:schemeClr val="accent1"/>
                  </a:solidFill>
                  <a:ln>
                    <a:noFill/>
                  </a:ln>
                  <a:effectLst/>
                </c:spPr>
                <c:invertIfNegative val="0"/>
                <c:cat>
                  <c:numRef>
                    <c:extLst>
                      <c:ext uri="{02D57815-91ED-43cb-92C2-25804820EDAC}">
                        <c15:formulaRef>
                          <c15:sqref>'Data Details'!$D$151:$E$151</c15:sqref>
                        </c15:formulaRef>
                      </c:ext>
                    </c:extLst>
                    <c:numCache>
                      <c:formatCode>General</c:formatCode>
                      <c:ptCount val="2"/>
                    </c:numCache>
                  </c:numRef>
                </c:cat>
                <c:val>
                  <c:numRef>
                    <c:extLst>
                      <c:ext uri="{02D57815-91ED-43cb-92C2-25804820EDAC}">
                        <c15:formulaRef>
                          <c15:sqref>'Data Details'!$E$152:$F$152</c15:sqref>
                        </c15:formulaRef>
                      </c:ext>
                    </c:extLst>
                    <c:numCache>
                      <c:formatCode>General</c:formatCode>
                      <c:ptCount val="2"/>
                      <c:pt idx="0">
                        <c:v>0</c:v>
                      </c:pt>
                      <c:pt idx="1">
                        <c:v>0</c:v>
                      </c:pt>
                    </c:numCache>
                  </c:numRef>
                </c:val>
                <c:extLst>
                  <c:ext xmlns:c16="http://schemas.microsoft.com/office/drawing/2014/chart" uri="{C3380CC4-5D6E-409C-BE32-E72D297353CC}">
                    <c16:uniqueId val="{00000001-FC6D-4DC0-87F1-86DAAB22B52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Details'!$C$154</c15:sqref>
                        </c15:formulaRef>
                      </c:ext>
                    </c:extLst>
                    <c:strCache>
                      <c:ptCount val="1"/>
                      <c:pt idx="0">
                        <c:v>Total Need Unmet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'Data Details'!$D$151:$E$151</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Details'!$E$154:$F$154</c15:sqref>
                        </c15:formulaRef>
                      </c:ext>
                    </c:extLst>
                    <c:numCache>
                      <c:formatCode>0.0%</c:formatCode>
                      <c:ptCount val="2"/>
                      <c:pt idx="0">
                        <c:v>0.57895014523912458</c:v>
                      </c:pt>
                      <c:pt idx="1">
                        <c:v>0.57895014523912458</c:v>
                      </c:pt>
                    </c:numCache>
                  </c:numRef>
                </c:val>
                <c:extLst xmlns:c15="http://schemas.microsoft.com/office/drawing/2012/chart">
                  <c:ext xmlns:c16="http://schemas.microsoft.com/office/drawing/2014/chart" uri="{C3380CC4-5D6E-409C-BE32-E72D297353CC}">
                    <c16:uniqueId val="{00000002-FC6D-4DC0-87F1-86DAAB22B52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Details'!$C$155</c15:sqref>
                        </c15:formulaRef>
                      </c:ext>
                    </c:extLst>
                    <c:strCache>
                      <c:ptCount val="1"/>
                      <c:pt idx="0">
                        <c:v>Funding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'Data Details'!$D$151:$E$151</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Details'!$E$155:$F$155</c15:sqref>
                        </c15:formulaRef>
                      </c:ext>
                    </c:extLst>
                    <c:numCache>
                      <c:formatCode>0.0%</c:formatCode>
                      <c:ptCount val="2"/>
                      <c:pt idx="0">
                        <c:v>0.3957165235612965</c:v>
                      </c:pt>
                      <c:pt idx="1">
                        <c:v>0.3957165235612965</c:v>
                      </c:pt>
                    </c:numCache>
                  </c:numRef>
                </c:val>
                <c:extLst xmlns:c15="http://schemas.microsoft.com/office/drawing/2012/chart">
                  <c:ext xmlns:c16="http://schemas.microsoft.com/office/drawing/2014/chart" uri="{C3380CC4-5D6E-409C-BE32-E72D297353CC}">
                    <c16:uniqueId val="{00000003-FC6D-4DC0-87F1-86DAAB22B52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Details'!$C$156</c15:sqref>
                        </c15:formulaRef>
                      </c:ext>
                    </c:extLst>
                    <c:strCache>
                      <c:ptCount val="1"/>
                      <c:pt idx="0">
                        <c:v>Facilities Subtotal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'Data Details'!$D$151:$E$151</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Details'!$E$156:$F$156</c15:sqref>
                        </c15:formulaRef>
                      </c:ext>
                    </c:extLst>
                    <c:numCache>
                      <c:formatCode>0.0%</c:formatCode>
                      <c:ptCount val="2"/>
                      <c:pt idx="0">
                        <c:v>2.5333331199578892E-2</c:v>
                      </c:pt>
                      <c:pt idx="1">
                        <c:v>2.5333331199578892E-2</c:v>
                      </c:pt>
                    </c:numCache>
                  </c:numRef>
                </c:val>
                <c:extLst xmlns:c15="http://schemas.microsoft.com/office/drawing/2012/chart">
                  <c:ext xmlns:c16="http://schemas.microsoft.com/office/drawing/2014/chart" uri="{C3380CC4-5D6E-409C-BE32-E72D297353CC}">
                    <c16:uniqueId val="{00000004-FC6D-4DC0-87F1-86DAAB22B52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Details'!$C$157</c15:sqref>
                        </c15:formulaRef>
                      </c:ext>
                    </c:extLst>
                    <c:strCache>
                      <c:ptCount val="1"/>
                      <c:pt idx="0">
                        <c:v>Financing Total</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'Data Details'!$D$151:$E$151</c15:sqref>
                        </c15:formulaRef>
                      </c:ext>
                    </c:extLst>
                    <c:numCache>
                      <c:formatCode>General</c:formatCode>
                      <c:ptCount val="2"/>
                    </c:numCache>
                  </c:numRef>
                </c:cat>
                <c:val>
                  <c:numRef>
                    <c:extLst xmlns:c15="http://schemas.microsoft.com/office/drawing/2012/chart">
                      <c:ext xmlns:c15="http://schemas.microsoft.com/office/drawing/2012/chart" uri="{02D57815-91ED-43cb-92C2-25804820EDAC}">
                        <c15:formulaRef>
                          <c15:sqref>'Data Details'!$E$157:$F$157</c15:sqref>
                        </c15:formulaRef>
                      </c:ext>
                    </c:extLst>
                    <c:numCache>
                      <c:formatCode>0.0%</c:formatCode>
                      <c:ptCount val="2"/>
                      <c:pt idx="0">
                        <c:v>0</c:v>
                      </c:pt>
                      <c:pt idx="1">
                        <c:v>0</c:v>
                      </c:pt>
                    </c:numCache>
                  </c:numRef>
                </c:val>
                <c:extLst xmlns:c15="http://schemas.microsoft.com/office/drawing/2012/chart">
                  <c:ext xmlns:c16="http://schemas.microsoft.com/office/drawing/2014/chart" uri="{C3380CC4-5D6E-409C-BE32-E72D297353CC}">
                    <c16:uniqueId val="{00000005-FC6D-4DC0-87F1-86DAAB22B52D}"/>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57905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solidFill>
                <a:latin typeface="+mn-lt"/>
                <a:ea typeface="+mn-ea"/>
                <a:cs typeface="+mn-cs"/>
              </a:defRPr>
            </a:pPr>
            <a:r>
              <a:rPr lang="en-US" b="1">
                <a:solidFill>
                  <a:schemeClr val="tx1"/>
                </a:solidFill>
              </a:rPr>
              <a:t>Current</a:t>
            </a:r>
            <a:r>
              <a:rPr lang="en-US" b="1" baseline="0">
                <a:solidFill>
                  <a:schemeClr val="tx1"/>
                </a:solidFill>
              </a:rPr>
              <a:t> Policy</a:t>
            </a:r>
            <a:r>
              <a:rPr lang="en-US" b="1">
                <a:solidFill>
                  <a:schemeClr val="tx1"/>
                </a:solidFill>
              </a:rPr>
              <a:t> (FY 2029)</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'Data Details'!$E$152</c:f>
              <c:strCache>
                <c:ptCount val="1"/>
                <c:pt idx="0">
                  <c:v>Current
Policy</c:v>
                </c:pt>
              </c:strCache>
            </c:strRef>
          </c:tx>
          <c:spPr>
            <a:solidFill>
              <a:srgbClr val="C00000"/>
            </a:solidFill>
            <a:ln>
              <a:solidFill>
                <a:schemeClr val="tx1"/>
              </a:solidFill>
            </a:ln>
          </c:spPr>
          <c:dPt>
            <c:idx val="0"/>
            <c:bubble3D val="0"/>
            <c:spPr>
              <a:solidFill>
                <a:schemeClr val="accent1">
                  <a:lumMod val="75000"/>
                </a:schemeClr>
              </a:solidFill>
              <a:ln w="19050">
                <a:solidFill>
                  <a:schemeClr val="tx1"/>
                </a:solidFill>
              </a:ln>
              <a:effectLst/>
            </c:spPr>
            <c:extLst>
              <c:ext xmlns:c16="http://schemas.microsoft.com/office/drawing/2014/chart" uri="{C3380CC4-5D6E-409C-BE32-E72D297353CC}">
                <c16:uniqueId val="{00000001-0349-4BEF-97C0-F438DDAAFC31}"/>
              </c:ext>
            </c:extLst>
          </c:dPt>
          <c:dPt>
            <c:idx val="1"/>
            <c:bubble3D val="0"/>
            <c:spPr>
              <a:solidFill>
                <a:srgbClr val="FF0000"/>
              </a:solidFill>
              <a:ln w="19050">
                <a:solidFill>
                  <a:schemeClr val="tx1"/>
                </a:solidFill>
              </a:ln>
              <a:effectLst/>
            </c:spPr>
            <c:extLst>
              <c:ext xmlns:c16="http://schemas.microsoft.com/office/drawing/2014/chart" uri="{C3380CC4-5D6E-409C-BE32-E72D297353CC}">
                <c16:uniqueId val="{00000003-0349-4BEF-97C0-F438DDAAFC31}"/>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Details'!$C$153:$C$154</c:f>
              <c:strCache>
                <c:ptCount val="2"/>
                <c:pt idx="0">
                  <c:v>Total Need Met</c:v>
                </c:pt>
                <c:pt idx="1">
                  <c:v>Total Need Unmet</c:v>
                </c:pt>
              </c:strCache>
            </c:strRef>
          </c:cat>
          <c:val>
            <c:numRef>
              <c:f>'Data Details'!$E$153:$E$154</c:f>
              <c:numCache>
                <c:formatCode>0.0%</c:formatCode>
                <c:ptCount val="2"/>
                <c:pt idx="0">
                  <c:v>0.42104985476087536</c:v>
                </c:pt>
                <c:pt idx="1">
                  <c:v>0.57895014523912458</c:v>
                </c:pt>
              </c:numCache>
            </c:numRef>
          </c:val>
          <c:extLst>
            <c:ext xmlns:c16="http://schemas.microsoft.com/office/drawing/2014/chart" uri="{C3380CC4-5D6E-409C-BE32-E72D297353CC}">
              <c16:uniqueId val="{00000004-0349-4BEF-97C0-F438DDAAFC3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solidFill>
                <a:latin typeface="+mn-lt"/>
                <a:ea typeface="+mn-ea"/>
                <a:cs typeface="+mn-cs"/>
              </a:defRPr>
            </a:pPr>
            <a:r>
              <a:rPr lang="en-US" b="1">
                <a:solidFill>
                  <a:schemeClr val="tx1"/>
                </a:solidFill>
              </a:rPr>
              <a:t>Revised Policy (FY 2029)</a:t>
            </a:r>
          </a:p>
        </c:rich>
      </c:tx>
      <c:layout>
        <c:manualLayout>
          <c:xMode val="edge"/>
          <c:yMode val="edge"/>
          <c:x val="0.25029398674668224"/>
          <c:y val="2.7497708524289642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chemeClr val="tx1"/>
              </a:solidFill>
              <a:latin typeface="+mn-lt"/>
              <a:ea typeface="+mn-ea"/>
              <a:cs typeface="+mn-cs"/>
            </a:defRPr>
          </a:pPr>
          <a:endParaRPr lang="en-US"/>
        </a:p>
      </c:txPr>
    </c:title>
    <c:autoTitleDeleted val="0"/>
    <c:plotArea>
      <c:layout/>
      <c:pieChart>
        <c:varyColors val="1"/>
        <c:ser>
          <c:idx val="1"/>
          <c:order val="1"/>
          <c:tx>
            <c:strRef>
              <c:f>'Data Details'!$F$152</c:f>
              <c:strCache>
                <c:ptCount val="1"/>
                <c:pt idx="0">
                  <c:v>Revised
Policy</c:v>
                </c:pt>
              </c:strCache>
            </c:strRef>
          </c:tx>
          <c:spPr>
            <a:solidFill>
              <a:srgbClr val="000F5D"/>
            </a:solidFill>
            <a:ln>
              <a:solidFill>
                <a:schemeClr val="tx1"/>
              </a:solidFill>
            </a:ln>
          </c:spPr>
          <c:dPt>
            <c:idx val="0"/>
            <c:bubble3D val="0"/>
            <c:spPr>
              <a:solidFill>
                <a:srgbClr val="002060"/>
              </a:solidFill>
              <a:ln w="19050">
                <a:solidFill>
                  <a:schemeClr val="tx1"/>
                </a:solidFill>
              </a:ln>
              <a:effectLst/>
            </c:spPr>
            <c:extLst>
              <c:ext xmlns:c16="http://schemas.microsoft.com/office/drawing/2014/chart" uri="{C3380CC4-5D6E-409C-BE32-E72D297353CC}">
                <c16:uniqueId val="{00000001-6ED9-4576-8BF2-26FE26601725}"/>
              </c:ext>
            </c:extLst>
          </c:dPt>
          <c:dPt>
            <c:idx val="1"/>
            <c:bubble3D val="0"/>
            <c:spPr>
              <a:solidFill>
                <a:srgbClr val="FF0000"/>
              </a:solidFill>
              <a:ln w="19050">
                <a:solidFill>
                  <a:schemeClr val="tx1"/>
                </a:solidFill>
              </a:ln>
              <a:effectLst/>
            </c:spPr>
            <c:extLst>
              <c:ext xmlns:c16="http://schemas.microsoft.com/office/drawing/2014/chart" uri="{C3380CC4-5D6E-409C-BE32-E72D297353CC}">
                <c16:uniqueId val="{00000003-6ED9-4576-8BF2-26FE26601725}"/>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Details'!$C$153:$C$154</c:f>
              <c:strCache>
                <c:ptCount val="2"/>
                <c:pt idx="0">
                  <c:v>Total Need Met</c:v>
                </c:pt>
                <c:pt idx="1">
                  <c:v>Total Need Unmet</c:v>
                </c:pt>
              </c:strCache>
            </c:strRef>
          </c:cat>
          <c:val>
            <c:numRef>
              <c:f>'Data Details'!$F$153:$F$154</c:f>
              <c:numCache>
                <c:formatCode>0.0%</c:formatCode>
                <c:ptCount val="2"/>
                <c:pt idx="0">
                  <c:v>0.42104985476087536</c:v>
                </c:pt>
                <c:pt idx="1">
                  <c:v>0.57895014523912458</c:v>
                </c:pt>
              </c:numCache>
            </c:numRef>
          </c:val>
          <c:extLst>
            <c:ext xmlns:c16="http://schemas.microsoft.com/office/drawing/2014/chart" uri="{C3380CC4-5D6E-409C-BE32-E72D297353CC}">
              <c16:uniqueId val="{00000004-6ED9-4576-8BF2-26FE26601725}"/>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'Data Details'!$E$152</c15:sqref>
                        </c15:formulaRef>
                      </c:ext>
                    </c:extLst>
                    <c:strCache>
                      <c:ptCount val="1"/>
                      <c:pt idx="0">
                        <c:v>Current
Policy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6ED9-4576-8BF2-26FE266017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6ED9-4576-8BF2-26FE26601725}"/>
                    </c:ext>
                  </c:extLst>
                </c:dPt>
                <c:cat>
                  <c:strRef>
                    <c:extLst>
                      <c:ext uri="{02D57815-91ED-43cb-92C2-25804820EDAC}">
                        <c15:formulaRef>
                          <c15:sqref>'Data Details'!$C$153:$C$154</c15:sqref>
                        </c15:formulaRef>
                      </c:ext>
                    </c:extLst>
                    <c:strCache>
                      <c:ptCount val="2"/>
                      <c:pt idx="0">
                        <c:v>Total Need Met</c:v>
                      </c:pt>
                      <c:pt idx="1">
                        <c:v>Total Need Unmet</c:v>
                      </c:pt>
                    </c:strCache>
                  </c:strRef>
                </c:cat>
                <c:val>
                  <c:numRef>
                    <c:extLst>
                      <c:ext uri="{02D57815-91ED-43cb-92C2-25804820EDAC}">
                        <c15:formulaRef>
                          <c15:sqref>'Data Details'!$E$153:$E$154</c15:sqref>
                        </c15:formulaRef>
                      </c:ext>
                    </c:extLst>
                    <c:numCache>
                      <c:formatCode>0.0%</c:formatCode>
                      <c:ptCount val="2"/>
                      <c:pt idx="0">
                        <c:v>0.42104985476087536</c:v>
                      </c:pt>
                      <c:pt idx="1">
                        <c:v>0.57895014523912458</c:v>
                      </c:pt>
                    </c:numCache>
                  </c:numRef>
                </c:val>
                <c:extLst>
                  <c:ext xmlns:c16="http://schemas.microsoft.com/office/drawing/2014/chart" uri="{C3380CC4-5D6E-409C-BE32-E72D297353CC}">
                    <c16:uniqueId val="{00000009-6ED9-4576-8BF2-26FE26601725}"/>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1" i="0" u="none" strike="noStrike" kern="1200" spc="0" baseline="0">
                <a:solidFill>
                  <a:schemeClr val="dk1"/>
                </a:solidFill>
                <a:latin typeface="+mn-lt"/>
                <a:ea typeface="+mn-ea"/>
                <a:cs typeface="+mn-cs"/>
              </a:defRPr>
            </a:pPr>
            <a:r>
              <a:rPr lang="en-US"/>
              <a:t>Charter</a:t>
            </a:r>
            <a:r>
              <a:rPr lang="en-US" baseline="0"/>
              <a:t> School Facility Index</a:t>
            </a:r>
            <a:r>
              <a:rPr lang="en-US"/>
              <a:t> (FY</a:t>
            </a:r>
            <a:r>
              <a:rPr lang="en-US" baseline="0"/>
              <a:t> 2029)</a:t>
            </a:r>
            <a:br>
              <a:rPr lang="en-US" baseline="0"/>
            </a:br>
            <a:r>
              <a:rPr lang="en-US" sz="1600" i="1"/>
              <a:t>Percent of Need Met</a:t>
            </a:r>
          </a:p>
        </c:rich>
      </c:tx>
      <c:overlay val="0"/>
      <c:spPr>
        <a:noFill/>
        <a:ln>
          <a:noFill/>
        </a:ln>
        <a:effectLst/>
      </c:spPr>
      <c:txPr>
        <a:bodyPr rot="0" spcFirstLastPara="1" vertOverflow="ellipsis" vert="horz" wrap="square" anchor="ctr" anchorCtr="1"/>
        <a:lstStyle/>
        <a:p>
          <a:pPr>
            <a:defRPr sz="216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'Data Details'!$C$153</c:f>
              <c:strCache>
                <c:ptCount val="1"/>
                <c:pt idx="0">
                  <c:v>Total Need Met</c:v>
                </c:pt>
              </c:strCache>
            </c:strRef>
          </c:tx>
          <c:spPr>
            <a:solidFill>
              <a:schemeClr val="accent1"/>
            </a:solidFill>
            <a:ln>
              <a:solidFill>
                <a:schemeClr val="tx1"/>
              </a:solidFill>
            </a:ln>
            <a:effectLst/>
          </c:spPr>
          <c:invertIfNegative val="0"/>
          <c:dPt>
            <c:idx val="0"/>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02-D50A-4B89-A5A0-5D46AE0CB1D6}"/>
              </c:ext>
            </c:extLst>
          </c:dPt>
          <c:dPt>
            <c:idx val="1"/>
            <c:invertIfNegative val="0"/>
            <c:bubble3D val="0"/>
            <c:spPr>
              <a:solidFill>
                <a:srgbClr val="002060"/>
              </a:solidFill>
              <a:ln>
                <a:solidFill>
                  <a:schemeClr val="tx1"/>
                </a:solidFill>
              </a:ln>
              <a:effectLst/>
            </c:spPr>
            <c:extLst>
              <c:ext xmlns:c16="http://schemas.microsoft.com/office/drawing/2014/chart" uri="{C3380CC4-5D6E-409C-BE32-E72D297353CC}">
                <c16:uniqueId val="{00000001-1B32-4602-A773-CB214BCAC43D}"/>
              </c:ext>
            </c:extLst>
          </c:dPt>
          <c:dLbls>
            <c:dLbl>
              <c:idx val="1"/>
              <c:showLegendKey val="0"/>
              <c:showVal val="1"/>
              <c:showCatName val="0"/>
              <c:showSerName val="0"/>
              <c:showPercent val="0"/>
              <c:showBubbleSize val="0"/>
              <c:extLst>
                <c:ext xmlns:c15="http://schemas.microsoft.com/office/drawing/2012/chart" uri="{CE6537A1-D6FC-4f65-9D91-7224C49458BB}">
                  <c15:layout>
                    <c:manualLayout>
                      <c:w val="0.24051283941885238"/>
                      <c:h val="3.1354156102750309E-2"/>
                    </c:manualLayout>
                  </c15:layout>
                </c:ext>
                <c:ext xmlns:c16="http://schemas.microsoft.com/office/drawing/2014/chart" uri="{C3380CC4-5D6E-409C-BE32-E72D297353CC}">
                  <c16:uniqueId val="{00000001-1B32-4602-A773-CB214BCAC43D}"/>
                </c:ext>
              </c:extLst>
            </c:dLbl>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Details'!$E$152:$F$152</c:f>
              <c:strCache>
                <c:ptCount val="2"/>
                <c:pt idx="0">
                  <c:v>Current
Policy</c:v>
                </c:pt>
                <c:pt idx="1">
                  <c:v>Revised
Policy</c:v>
                </c:pt>
              </c:strCache>
            </c:strRef>
          </c:cat>
          <c:val>
            <c:numRef>
              <c:f>'Data Details'!$E$153:$F$153</c:f>
              <c:numCache>
                <c:formatCode>0.0%</c:formatCode>
                <c:ptCount val="2"/>
                <c:pt idx="0">
                  <c:v>0.42104985476087536</c:v>
                </c:pt>
                <c:pt idx="1">
                  <c:v>0.42104985476087536</c:v>
                </c:pt>
              </c:numCache>
            </c:numRef>
          </c:val>
          <c:extLst>
            <c:ext xmlns:c16="http://schemas.microsoft.com/office/drawing/2014/chart" uri="{C3380CC4-5D6E-409C-BE32-E72D297353CC}">
              <c16:uniqueId val="{00000000-1B32-4602-A773-CB214BCAC43D}"/>
            </c:ext>
          </c:extLst>
        </c:ser>
        <c:dLbls>
          <c:showLegendKey val="0"/>
          <c:showVal val="0"/>
          <c:showCatName val="0"/>
          <c:showSerName val="0"/>
          <c:showPercent val="0"/>
          <c:showBubbleSize val="0"/>
        </c:dLbls>
        <c:gapWidth val="47"/>
        <c:overlap val="-27"/>
        <c:axId val="357905120"/>
        <c:axId val="1924406016"/>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dk1"/>
                </a:solidFill>
                <a:latin typeface="+mn-lt"/>
                <a:ea typeface="+mn-ea"/>
                <a:cs typeface="+mn-cs"/>
              </a:defRPr>
            </a:pPr>
            <a:endParaRPr lang="en-US"/>
          </a:p>
        </c:txPr>
        <c:crossAx val="35790512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8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a:t>Total</a:t>
            </a:r>
            <a:r>
              <a:rPr lang="en-US" baseline="0"/>
              <a:t> Charter School </a:t>
            </a:r>
            <a:r>
              <a:rPr lang="en-US"/>
              <a:t>Facility Gap (FY 2029)</a:t>
            </a:r>
          </a:p>
        </c:rich>
      </c:tx>
      <c:overlay val="0"/>
      <c:spPr>
        <a:noFill/>
        <a:ln>
          <a:noFill/>
        </a:ln>
        <a:effectLst/>
      </c:spPr>
      <c:txPr>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2289574035226192"/>
          <c:y val="0.13986457641589983"/>
          <c:w val="0.72956403211439746"/>
          <c:h val="0.83603903804193147"/>
        </c:manualLayout>
      </c:layout>
      <c:barChart>
        <c:barDir val="bar"/>
        <c:grouping val="clustered"/>
        <c:varyColors val="0"/>
        <c:ser>
          <c:idx val="4"/>
          <c:order val="4"/>
          <c:tx>
            <c:strRef>
              <c:f>'Data Details'!$C$158</c:f>
              <c:strCache>
                <c:ptCount val="1"/>
                <c:pt idx="0">
                  <c:v>Facility Gap Funding Amount</c:v>
                </c:pt>
              </c:strCache>
            </c:strRef>
          </c:tx>
          <c:spPr>
            <a:solidFill>
              <a:schemeClr val="accent1">
                <a:lumMod val="75000"/>
              </a:schemeClr>
            </a:solidFill>
            <a:ln>
              <a:solidFill>
                <a:schemeClr val="tx1"/>
              </a:solidFill>
            </a:ln>
            <a:effectLst/>
          </c:spPr>
          <c:invertIfNegative val="0"/>
          <c:dPt>
            <c:idx val="0"/>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01-D5D1-4885-BF13-BDE72A3F8546}"/>
              </c:ext>
            </c:extLst>
          </c:dPt>
          <c:dPt>
            <c:idx val="1"/>
            <c:invertIfNegative val="0"/>
            <c:bubble3D val="0"/>
            <c:spPr>
              <a:solidFill>
                <a:srgbClr val="002060"/>
              </a:solidFill>
              <a:ln>
                <a:solidFill>
                  <a:schemeClr val="tx1"/>
                </a:solidFill>
              </a:ln>
              <a:effectLst/>
            </c:spPr>
            <c:extLst>
              <c:ext xmlns:c16="http://schemas.microsoft.com/office/drawing/2014/chart" uri="{C3380CC4-5D6E-409C-BE32-E72D297353CC}">
                <c16:uniqueId val="{00000000-D5D1-4885-BF13-BDE72A3F8546}"/>
              </c:ext>
            </c:extLst>
          </c:dPt>
          <c:dLbls>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Details'!$E$152:$F$152</c:f>
              <c:strCache>
                <c:ptCount val="2"/>
                <c:pt idx="0">
                  <c:v>Current
Policy</c:v>
                </c:pt>
                <c:pt idx="1">
                  <c:v>Revised
Policy</c:v>
                </c:pt>
              </c:strCache>
            </c:strRef>
          </c:cat>
          <c:val>
            <c:numRef>
              <c:f>'Data Details'!$E$158:$F$158</c:f>
              <c:numCache>
                <c:formatCode>"$"#,##0</c:formatCode>
                <c:ptCount val="2"/>
                <c:pt idx="0">
                  <c:v>138387505.52820262</c:v>
                </c:pt>
                <c:pt idx="1">
                  <c:v>138387505.52820262</c:v>
                </c:pt>
              </c:numCache>
            </c:numRef>
          </c:val>
          <c:extLst>
            <c:ext xmlns:c16="http://schemas.microsoft.com/office/drawing/2014/chart" uri="{C3380CC4-5D6E-409C-BE32-E72D297353CC}">
              <c16:uniqueId val="{00000000-6B85-4699-B145-25F944B8664E}"/>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Details'!$C$153</c15:sqref>
                        </c15:formulaRef>
                      </c:ext>
                    </c:extLst>
                    <c:strCache>
                      <c:ptCount val="1"/>
                      <c:pt idx="0">
                        <c:v>Total Need Met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Details'!$E$152:$F$152</c15:sqref>
                        </c15:formulaRef>
                      </c:ext>
                    </c:extLst>
                    <c:strCache>
                      <c:ptCount val="2"/>
                      <c:pt idx="0">
                        <c:v>Current
Policy</c:v>
                      </c:pt>
                      <c:pt idx="1">
                        <c:v>Revised
Policy</c:v>
                      </c:pt>
                    </c:strCache>
                  </c:strRef>
                </c:cat>
                <c:val>
                  <c:numRef>
                    <c:extLst>
                      <c:ext uri="{02D57815-91ED-43cb-92C2-25804820EDAC}">
                        <c15:formulaRef>
                          <c15:sqref>'Data Details'!$E$153:$F$153</c15:sqref>
                        </c15:formulaRef>
                      </c:ext>
                    </c:extLst>
                    <c:numCache>
                      <c:formatCode>0.0%</c:formatCode>
                      <c:ptCount val="2"/>
                      <c:pt idx="0">
                        <c:v>0.42104985476087536</c:v>
                      </c:pt>
                      <c:pt idx="1">
                        <c:v>0.42104985476087536</c:v>
                      </c:pt>
                    </c:numCache>
                  </c:numRef>
                </c:val>
                <c:extLst>
                  <c:ext xmlns:c16="http://schemas.microsoft.com/office/drawing/2014/chart" uri="{C3380CC4-5D6E-409C-BE32-E72D297353CC}">
                    <c16:uniqueId val="{00000001-6B85-4699-B145-25F944B8664E}"/>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Details'!$C$155</c15:sqref>
                        </c15:formulaRef>
                      </c:ext>
                    </c:extLst>
                    <c:strCache>
                      <c:ptCount val="1"/>
                      <c:pt idx="0">
                        <c:v>Funding Subtotal</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Details'!$E$155:$F$155</c15:sqref>
                        </c15:formulaRef>
                      </c:ext>
                    </c:extLst>
                    <c:numCache>
                      <c:formatCode>0.0%</c:formatCode>
                      <c:ptCount val="2"/>
                      <c:pt idx="0">
                        <c:v>0.3957165235612965</c:v>
                      </c:pt>
                      <c:pt idx="1">
                        <c:v>0.3957165235612965</c:v>
                      </c:pt>
                    </c:numCache>
                  </c:numRef>
                </c:val>
                <c:extLst xmlns:c15="http://schemas.microsoft.com/office/drawing/2012/chart">
                  <c:ext xmlns:c16="http://schemas.microsoft.com/office/drawing/2014/chart" uri="{C3380CC4-5D6E-409C-BE32-E72D297353CC}">
                    <c16:uniqueId val="{00000002-6B85-4699-B145-25F944B8664E}"/>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Details'!$C$156</c15:sqref>
                        </c15:formulaRef>
                      </c:ext>
                    </c:extLst>
                    <c:strCache>
                      <c:ptCount val="1"/>
                      <c:pt idx="0">
                        <c:v>Facilities Subtotal</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Details'!$E$156:$F$156</c15:sqref>
                        </c15:formulaRef>
                      </c:ext>
                    </c:extLst>
                    <c:numCache>
                      <c:formatCode>0.0%</c:formatCode>
                      <c:ptCount val="2"/>
                      <c:pt idx="0">
                        <c:v>2.5333331199578892E-2</c:v>
                      </c:pt>
                      <c:pt idx="1">
                        <c:v>2.5333331199578892E-2</c:v>
                      </c:pt>
                    </c:numCache>
                  </c:numRef>
                </c:val>
                <c:extLst xmlns:c15="http://schemas.microsoft.com/office/drawing/2012/chart">
                  <c:ext xmlns:c16="http://schemas.microsoft.com/office/drawing/2014/chart" uri="{C3380CC4-5D6E-409C-BE32-E72D297353CC}">
                    <c16:uniqueId val="{00000003-6B85-4699-B145-25F944B8664E}"/>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Details'!$C$157</c15:sqref>
                        </c15:formulaRef>
                      </c:ext>
                    </c:extLst>
                    <c:strCache>
                      <c:ptCount val="1"/>
                      <c:pt idx="0">
                        <c:v>Financing Total</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Details'!$E$157:$F$157</c15:sqref>
                        </c15:formulaRef>
                      </c:ext>
                    </c:extLst>
                    <c:numCache>
                      <c:formatCode>0.0%</c:formatCode>
                      <c:ptCount val="2"/>
                      <c:pt idx="0">
                        <c:v>0</c:v>
                      </c:pt>
                      <c:pt idx="1">
                        <c:v>0</c:v>
                      </c:pt>
                    </c:numCache>
                  </c:numRef>
                </c:val>
                <c:extLst xmlns:c15="http://schemas.microsoft.com/office/drawing/2012/chart">
                  <c:ext xmlns:c16="http://schemas.microsoft.com/office/drawing/2014/chart" uri="{C3380CC4-5D6E-409C-BE32-E72D297353CC}">
                    <c16:uniqueId val="{00000004-6B85-4699-B145-25F944B8664E}"/>
                  </c:ext>
                </c:extLst>
              </c15:ser>
            </c15:filteredBarSeries>
          </c:ext>
        </c:extLst>
      </c:barChart>
      <c:catAx>
        <c:axId val="35790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in val="0"/>
        </c:scaling>
        <c:delete val="1"/>
        <c:axPos val="t"/>
        <c:numFmt formatCode="&quot;$&quot;#,##0" sourceLinked="1"/>
        <c:majorTickMark val="out"/>
        <c:minorTickMark val="none"/>
        <c:tickLblPos val="nextTo"/>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6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baseline="0"/>
              <a:t>Teachers That An Average-Sized Charter School Cannot Hire Because Its Facility Needs Are Not Fully Met (FY 2029)</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6"/>
          <c:order val="6"/>
          <c:tx>
            <c:strRef>
              <c:f>'Data Details'!$C$160</c:f>
              <c:strCache>
                <c:ptCount val="1"/>
                <c:pt idx="0">
                  <c:v>Number of Additional Teachers Hired</c:v>
                </c:pt>
              </c:strCache>
              <c:extLst xmlns:c15="http://schemas.microsoft.com/office/drawing/2012/chart"/>
            </c:strRef>
          </c:tx>
          <c:spPr>
            <a:solidFill>
              <a:schemeClr val="accent4">
                <a:lumMod val="75000"/>
              </a:schemeClr>
            </a:solidFill>
            <a:ln>
              <a:solidFill>
                <a:schemeClr val="tx1"/>
              </a:solidFill>
            </a:ln>
            <a:effectLst/>
          </c:spPr>
          <c:invertIfNegative val="0"/>
          <c:dPt>
            <c:idx val="0"/>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01-EC1C-48F7-8A75-1133164EFD8A}"/>
              </c:ext>
            </c:extLst>
          </c:dPt>
          <c:dPt>
            <c:idx val="1"/>
            <c:invertIfNegative val="0"/>
            <c:bubble3D val="0"/>
            <c:spPr>
              <a:solidFill>
                <a:srgbClr val="002060"/>
              </a:solidFill>
              <a:ln>
                <a:solidFill>
                  <a:schemeClr val="tx1"/>
                </a:solidFill>
              </a:ln>
              <a:effectLst/>
            </c:spPr>
            <c:extLst>
              <c:ext xmlns:c16="http://schemas.microsoft.com/office/drawing/2014/chart" uri="{C3380CC4-5D6E-409C-BE32-E72D297353CC}">
                <c16:uniqueId val="{00000000-EC1C-48F7-8A75-1133164EFD8A}"/>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Details'!$E$152:$F$152</c:f>
              <c:strCache>
                <c:ptCount val="2"/>
                <c:pt idx="0">
                  <c:v>Current
Policy</c:v>
                </c:pt>
                <c:pt idx="1">
                  <c:v>Revised
Policy</c:v>
                </c:pt>
              </c:strCache>
              <c:extLst xmlns:c15="http://schemas.microsoft.com/office/drawing/2012/chart"/>
            </c:strRef>
          </c:cat>
          <c:val>
            <c:numRef>
              <c:f>'Data Details'!$E$160:$F$160</c:f>
              <c:numCache>
                <c:formatCode>0</c:formatCode>
                <c:ptCount val="2"/>
                <c:pt idx="0">
                  <c:v>7.1749312605554687</c:v>
                </c:pt>
                <c:pt idx="1">
                  <c:v>7.1749312605554687</c:v>
                </c:pt>
              </c:numCache>
              <c:extLst xmlns:c15="http://schemas.microsoft.com/office/drawing/2012/chart"/>
            </c:numRef>
          </c:val>
          <c:extLst>
            <c:ext xmlns:c16="http://schemas.microsoft.com/office/drawing/2014/chart" uri="{C3380CC4-5D6E-409C-BE32-E72D297353CC}">
              <c16:uniqueId val="{00000006-083E-406D-9547-30A7FC9E44F8}"/>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'Data Details'!$C$153</c15:sqref>
                        </c15:formulaRef>
                      </c:ext>
                    </c:extLst>
                    <c:strCache>
                      <c:ptCount val="1"/>
                      <c:pt idx="0">
                        <c:v>Total Need Met</c:v>
                      </c:pt>
                    </c:strCache>
                  </c:strRef>
                </c:tx>
                <c:spPr>
                  <a:solidFill>
                    <a:schemeClr val="accent1"/>
                  </a:solidFill>
                  <a:ln>
                    <a:noFill/>
                  </a:ln>
                  <a:effectLst/>
                </c:spPr>
                <c:invertIfNegative val="0"/>
                <c:cat>
                  <c:strRef>
                    <c:extLst>
                      <c:ext uri="{02D57815-91ED-43cb-92C2-25804820EDAC}">
                        <c15:formulaRef>
                          <c15:sqref>'Data Details'!$E$152:$F$152</c15:sqref>
                        </c15:formulaRef>
                      </c:ext>
                    </c:extLst>
                    <c:strCache>
                      <c:ptCount val="2"/>
                      <c:pt idx="0">
                        <c:v>Current
Policy</c:v>
                      </c:pt>
                      <c:pt idx="1">
                        <c:v>Revised
Policy</c:v>
                      </c:pt>
                    </c:strCache>
                  </c:strRef>
                </c:cat>
                <c:val>
                  <c:numRef>
                    <c:extLst>
                      <c:ext uri="{02D57815-91ED-43cb-92C2-25804820EDAC}">
                        <c15:formulaRef>
                          <c15:sqref>'Data Details'!$E$153:$F$153</c15:sqref>
                        </c15:formulaRef>
                      </c:ext>
                    </c:extLst>
                    <c:numCache>
                      <c:formatCode>0.0%</c:formatCode>
                      <c:ptCount val="2"/>
                      <c:pt idx="0">
                        <c:v>0.42104985476087536</c:v>
                      </c:pt>
                      <c:pt idx="1">
                        <c:v>0.42104985476087536</c:v>
                      </c:pt>
                    </c:numCache>
                  </c:numRef>
                </c:val>
                <c:extLst>
                  <c:ext xmlns:c16="http://schemas.microsoft.com/office/drawing/2014/chart" uri="{C3380CC4-5D6E-409C-BE32-E72D297353CC}">
                    <c16:uniqueId val="{00000001-083E-406D-9547-30A7FC9E44F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'Data Details'!$C$155</c15:sqref>
                        </c15:formulaRef>
                      </c:ext>
                    </c:extLst>
                    <c:strCache>
                      <c:ptCount val="1"/>
                      <c:pt idx="0">
                        <c:v>Funding Subtotal</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Details'!$E$155:$F$155</c15:sqref>
                        </c15:formulaRef>
                      </c:ext>
                    </c:extLst>
                    <c:numCache>
                      <c:formatCode>0.0%</c:formatCode>
                      <c:ptCount val="2"/>
                      <c:pt idx="0">
                        <c:v>0.3957165235612965</c:v>
                      </c:pt>
                      <c:pt idx="1">
                        <c:v>0.3957165235612965</c:v>
                      </c:pt>
                    </c:numCache>
                  </c:numRef>
                </c:val>
                <c:extLst xmlns:c15="http://schemas.microsoft.com/office/drawing/2012/chart">
                  <c:ext xmlns:c16="http://schemas.microsoft.com/office/drawing/2014/chart" uri="{C3380CC4-5D6E-409C-BE32-E72D297353CC}">
                    <c16:uniqueId val="{00000002-083E-406D-9547-30A7FC9E44F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'Data Details'!$C$156</c15:sqref>
                        </c15:formulaRef>
                      </c:ext>
                    </c:extLst>
                    <c:strCache>
                      <c:ptCount val="1"/>
                      <c:pt idx="0">
                        <c:v>Facilities Subtotal</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Details'!$E$156:$F$156</c15:sqref>
                        </c15:formulaRef>
                      </c:ext>
                    </c:extLst>
                    <c:numCache>
                      <c:formatCode>0.0%</c:formatCode>
                      <c:ptCount val="2"/>
                      <c:pt idx="0">
                        <c:v>2.5333331199578892E-2</c:v>
                      </c:pt>
                      <c:pt idx="1">
                        <c:v>2.5333331199578892E-2</c:v>
                      </c:pt>
                    </c:numCache>
                  </c:numRef>
                </c:val>
                <c:extLst xmlns:c15="http://schemas.microsoft.com/office/drawing/2012/chart">
                  <c:ext xmlns:c16="http://schemas.microsoft.com/office/drawing/2014/chart" uri="{C3380CC4-5D6E-409C-BE32-E72D297353CC}">
                    <c16:uniqueId val="{00000003-083E-406D-9547-30A7FC9E44F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'Data Details'!$C$157</c15:sqref>
                        </c15:formulaRef>
                      </c:ext>
                    </c:extLst>
                    <c:strCache>
                      <c:ptCount val="1"/>
                      <c:pt idx="0">
                        <c:v>Financing Total</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Details'!$E$157:$F$157</c15:sqref>
                        </c15:formulaRef>
                      </c:ext>
                    </c:extLst>
                    <c:numCache>
                      <c:formatCode>0.0%</c:formatCode>
                      <c:ptCount val="2"/>
                      <c:pt idx="0">
                        <c:v>0</c:v>
                      </c:pt>
                      <c:pt idx="1">
                        <c:v>0</c:v>
                      </c:pt>
                    </c:numCache>
                  </c:numRef>
                </c:val>
                <c:extLst xmlns:c15="http://schemas.microsoft.com/office/drawing/2012/chart">
                  <c:ext xmlns:c16="http://schemas.microsoft.com/office/drawing/2014/chart" uri="{C3380CC4-5D6E-409C-BE32-E72D297353CC}">
                    <c16:uniqueId val="{00000004-083E-406D-9547-30A7FC9E44F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'Data Details'!$C$158</c15:sqref>
                        </c15:formulaRef>
                      </c:ext>
                    </c:extLst>
                    <c:strCache>
                      <c:ptCount val="1"/>
                      <c:pt idx="0">
                        <c:v>Facility Gap Funding Amount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Details'!$E$158:$F$158</c15:sqref>
                        </c15:formulaRef>
                      </c:ext>
                    </c:extLst>
                    <c:numCache>
                      <c:formatCode>"$"#,##0</c:formatCode>
                      <c:ptCount val="2"/>
                      <c:pt idx="0">
                        <c:v>138387505.52820262</c:v>
                      </c:pt>
                      <c:pt idx="1">
                        <c:v>138387505.52820262</c:v>
                      </c:pt>
                    </c:numCache>
                  </c:numRef>
                </c:val>
                <c:extLst xmlns:c15="http://schemas.microsoft.com/office/drawing/2012/chart">
                  <c:ext xmlns:c16="http://schemas.microsoft.com/office/drawing/2014/chart" uri="{C3380CC4-5D6E-409C-BE32-E72D297353CC}">
                    <c16:uniqueId val="{00000005-083E-406D-9547-30A7FC9E44F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'Data Details'!$C$159</c15:sqref>
                        </c15:formulaRef>
                      </c:ext>
                    </c:extLst>
                    <c:strCache>
                      <c:ptCount val="1"/>
                      <c:pt idx="0">
                        <c:v>Per Student Facility Funding Gap</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Details'!$E$152:$F$152</c15:sqref>
                        </c15:formulaRef>
                      </c:ext>
                    </c:extLst>
                    <c:strCache>
                      <c:ptCount val="2"/>
                      <c:pt idx="0">
                        <c:v>Current
Policy</c:v>
                      </c:pt>
                      <c:pt idx="1">
                        <c:v>Revised
Policy</c:v>
                      </c:pt>
                    </c:strCache>
                  </c:strRef>
                </c:cat>
                <c:val>
                  <c:numRef>
                    <c:extLst xmlns:c15="http://schemas.microsoft.com/office/drawing/2012/chart">
                      <c:ext xmlns:c15="http://schemas.microsoft.com/office/drawing/2012/chart" uri="{02D57815-91ED-43cb-92C2-25804820EDAC}">
                        <c15:formulaRef>
                          <c15:sqref>'Data Details'!$E$159:$F$159</c15:sqref>
                        </c15:formulaRef>
                      </c:ext>
                    </c:extLst>
                    <c:numCache>
                      <c:formatCode>"$"#,##0</c:formatCode>
                      <c:ptCount val="2"/>
                      <c:pt idx="0">
                        <c:v>1494.7669896805542</c:v>
                      </c:pt>
                      <c:pt idx="1">
                        <c:v>1494.7669896805542</c:v>
                      </c:pt>
                    </c:numCache>
                  </c:numRef>
                </c:val>
                <c:extLst xmlns:c15="http://schemas.microsoft.com/office/drawing/2012/chart">
                  <c:ext xmlns:c16="http://schemas.microsoft.com/office/drawing/2014/chart" uri="{C3380CC4-5D6E-409C-BE32-E72D297353CC}">
                    <c16:uniqueId val="{00000000-083E-406D-9547-30A7FC9E44F8}"/>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sz="1920"/>
              <a:t>Charter</a:t>
            </a:r>
            <a:r>
              <a:rPr lang="en-US" sz="1920" baseline="0"/>
              <a:t> School</a:t>
            </a:r>
            <a:br>
              <a:rPr lang="en-US" sz="1920" baseline="0"/>
            </a:br>
            <a:r>
              <a:rPr lang="en-US" sz="1920" baseline="0"/>
              <a:t>Facility Index</a:t>
            </a:r>
            <a:endParaRPr lang="en-US" sz="1920"/>
          </a:p>
          <a:p>
            <a:pPr>
              <a:defRPr sz="1920" b="1"/>
            </a:pPr>
            <a:r>
              <a:rPr lang="en-US" sz="1600" i="1" u="none"/>
              <a:t>Percent of Need Met</a:t>
            </a:r>
          </a:p>
        </c:rich>
      </c:tx>
      <c:overlay val="0"/>
      <c:spPr>
        <a:noFill/>
        <a:ln>
          <a:noFill/>
        </a:ln>
        <a:effectLst/>
      </c:spPr>
      <c:txPr>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2"/>
          <c:order val="2"/>
          <c:tx>
            <c:strRef>
              <c:f>'Facility Index Tool'!$C$15</c:f>
              <c:strCache>
                <c:ptCount val="1"/>
                <c:pt idx="0">
                  <c:v>Charter School Facility Index</c:v>
                </c:pt>
              </c:strCache>
            </c:strRef>
          </c:tx>
          <c:spPr>
            <a:solidFill>
              <a:schemeClr val="accent3"/>
            </a:solidFill>
            <a:ln>
              <a:solidFill>
                <a:sysClr val="windowText" lastClr="000000"/>
              </a:solidFill>
            </a:ln>
            <a:effectLst/>
          </c:spPr>
          <c:invertIfNegative val="0"/>
          <c:dPt>
            <c:idx val="0"/>
            <c:invertIfNegative val="0"/>
            <c:bubble3D val="0"/>
            <c:spPr>
              <a:solidFill>
                <a:schemeClr val="accent5">
                  <a:lumMod val="60000"/>
                  <a:lumOff val="40000"/>
                </a:schemeClr>
              </a:solidFill>
              <a:ln>
                <a:solidFill>
                  <a:sysClr val="windowText" lastClr="000000"/>
                </a:solidFill>
              </a:ln>
              <a:effectLst/>
            </c:spPr>
            <c:extLst>
              <c:ext xmlns:c16="http://schemas.microsoft.com/office/drawing/2014/chart" uri="{C3380CC4-5D6E-409C-BE32-E72D297353CC}">
                <c16:uniqueId val="{0000000B-5A11-4820-8324-477DF9A0D605}"/>
              </c:ext>
            </c:extLst>
          </c:dPt>
          <c:dPt>
            <c:idx val="1"/>
            <c:invertIfNegative val="0"/>
            <c:bubble3D val="0"/>
            <c:spPr>
              <a:solidFill>
                <a:schemeClr val="accent5">
                  <a:lumMod val="75000"/>
                </a:schemeClr>
              </a:solidFill>
              <a:ln>
                <a:solidFill>
                  <a:sysClr val="windowText" lastClr="000000"/>
                </a:solidFill>
              </a:ln>
              <a:effectLst/>
            </c:spPr>
            <c:extLst>
              <c:ext xmlns:c16="http://schemas.microsoft.com/office/drawing/2014/chart" uri="{C3380CC4-5D6E-409C-BE32-E72D297353CC}">
                <c16:uniqueId val="{0000000A-5A11-4820-8324-477DF9A0D605}"/>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Tool'!$D$12:$E$12</c:f>
              <c:strCache>
                <c:ptCount val="2"/>
                <c:pt idx="0">
                  <c:v> Current
(FY 2024)</c:v>
                </c:pt>
                <c:pt idx="1">
                  <c:v>Projected
(FY 2029)</c:v>
                </c:pt>
              </c:strCache>
            </c:strRef>
          </c:cat>
          <c:val>
            <c:numRef>
              <c:f>'Facility Index Tool'!$D$15:$E$15</c:f>
              <c:numCache>
                <c:formatCode>0.0%</c:formatCode>
                <c:ptCount val="2"/>
                <c:pt idx="0">
                  <c:v>0.51978576312352487</c:v>
                </c:pt>
                <c:pt idx="1">
                  <c:v>0.42104985476087536</c:v>
                </c:pt>
              </c:numCache>
            </c:numRef>
          </c:val>
          <c:extLst>
            <c:ext xmlns:c16="http://schemas.microsoft.com/office/drawing/2014/chart" uri="{C3380CC4-5D6E-409C-BE32-E72D297353CC}">
              <c16:uniqueId val="{00000006-5A11-4820-8324-477DF9A0D605}"/>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'Facility Index Tool'!$C$13</c15:sqref>
                        </c15:formulaRef>
                      </c:ext>
                    </c:extLst>
                    <c:strCache>
                      <c:ptCount val="1"/>
                      <c:pt idx="0">
                        <c:v>Charter school enrollment</c:v>
                      </c:pt>
                    </c:strCache>
                  </c:strRef>
                </c:tx>
                <c:spPr>
                  <a:solidFill>
                    <a:schemeClr val="accent1"/>
                  </a:solidFill>
                  <a:ln>
                    <a:noFill/>
                  </a:ln>
                  <a:effectLst/>
                </c:spPr>
                <c:invertIfNegative val="0"/>
                <c:cat>
                  <c:strRef>
                    <c:extLst>
                      <c:ext uri="{02D57815-91ED-43cb-92C2-25804820EDAC}">
                        <c15:formulaRef>
                          <c15:sqref>'Facility Index Tool'!$D$12:$E$12</c15:sqref>
                        </c15:formulaRef>
                      </c:ext>
                    </c:extLst>
                    <c:strCache>
                      <c:ptCount val="2"/>
                      <c:pt idx="0">
                        <c:v> Current
(FY 2024)</c:v>
                      </c:pt>
                      <c:pt idx="1">
                        <c:v>Projected
(FY 2029)</c:v>
                      </c:pt>
                    </c:strCache>
                  </c:strRef>
                </c:cat>
                <c:val>
                  <c:numRef>
                    <c:extLst>
                      <c:ext uri="{02D57815-91ED-43cb-92C2-25804820EDAC}">
                        <c15:formulaRef>
                          <c15:sqref>'Facility Index Tool'!$D$13:$E$13</c15:sqref>
                        </c15:formulaRef>
                      </c:ext>
                    </c:extLst>
                    <c:numCache>
                      <c:formatCode>#,##0</c:formatCode>
                      <c:ptCount val="2"/>
                      <c:pt idx="0">
                        <c:v>84616.350380000003</c:v>
                      </c:pt>
                      <c:pt idx="1">
                        <c:v>92581.323031342385</c:v>
                      </c:pt>
                    </c:numCache>
                  </c:numRef>
                </c:val>
                <c:extLst>
                  <c:ext xmlns:c16="http://schemas.microsoft.com/office/drawing/2014/chart" uri="{C3380CC4-5D6E-409C-BE32-E72D297353CC}">
                    <c16:uniqueId val="{00000004-5A11-4820-8324-477DF9A0D60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'Facility Index Tool'!$C$14</c15:sqref>
                        </c15:formulaRef>
                      </c:ext>
                    </c:extLst>
                    <c:strCache>
                      <c:ptCount val="1"/>
                      <c:pt idx="0">
                        <c:v>Number of charter schools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Tool'!$D$14:$E$14</c15:sqref>
                        </c15:formulaRef>
                      </c:ext>
                    </c:extLst>
                    <c:numCache>
                      <c:formatCode>#,##0</c:formatCode>
                      <c:ptCount val="2"/>
                      <c:pt idx="0">
                        <c:v>317</c:v>
                      </c:pt>
                      <c:pt idx="1">
                        <c:v>341</c:v>
                      </c:pt>
                    </c:numCache>
                  </c:numRef>
                </c:val>
                <c:extLst xmlns:c15="http://schemas.microsoft.com/office/drawing/2012/chart">
                  <c:ext xmlns:c16="http://schemas.microsoft.com/office/drawing/2014/chart" uri="{C3380CC4-5D6E-409C-BE32-E72D297353CC}">
                    <c16:uniqueId val="{00000005-5A11-4820-8324-477DF9A0D60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'Facility Index Tool'!$C$16</c15:sqref>
                        </c15:formulaRef>
                      </c:ext>
                    </c:extLst>
                    <c:strCache>
                      <c:ptCount val="1"/>
                      <c:pt idx="0">
                        <c:v>Total facility gap</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Tool'!$D$16:$E$16</c15:sqref>
                        </c15:formulaRef>
                      </c:ext>
                    </c:extLst>
                    <c:numCache>
                      <c:formatCode>"$"#,##0</c:formatCode>
                      <c:ptCount val="2"/>
                      <c:pt idx="0">
                        <c:v>82200632.047368139</c:v>
                      </c:pt>
                      <c:pt idx="1">
                        <c:v>138387505.52820262</c:v>
                      </c:pt>
                    </c:numCache>
                  </c:numRef>
                </c:val>
                <c:extLst xmlns:c15="http://schemas.microsoft.com/office/drawing/2012/chart">
                  <c:ext xmlns:c16="http://schemas.microsoft.com/office/drawing/2014/chart" uri="{C3380CC4-5D6E-409C-BE32-E72D297353CC}">
                    <c16:uniqueId val="{00000007-5A11-4820-8324-477DF9A0D60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'Facility Index Tool'!$C$17</c15:sqref>
                        </c15:formulaRef>
                      </c:ext>
                    </c:extLst>
                    <c:strCache>
                      <c:ptCount val="1"/>
                      <c:pt idx="0">
                        <c:v>Facility gap per student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Tool'!$D$17:$E$17</c15:sqref>
                        </c15:formulaRef>
                      </c:ext>
                    </c:extLst>
                    <c:numCache>
                      <c:formatCode>"$"#,##0</c:formatCode>
                      <c:ptCount val="2"/>
                      <c:pt idx="0">
                        <c:v>971.45092737061793</c:v>
                      </c:pt>
                      <c:pt idx="1">
                        <c:v>1494.7669896805542</c:v>
                      </c:pt>
                    </c:numCache>
                  </c:numRef>
                </c:val>
                <c:extLst xmlns:c15="http://schemas.microsoft.com/office/drawing/2012/chart">
                  <c:ext xmlns:c16="http://schemas.microsoft.com/office/drawing/2014/chart" uri="{C3380CC4-5D6E-409C-BE32-E72D297353CC}">
                    <c16:uniqueId val="{00000008-5A11-4820-8324-477DF9A0D60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'Facility Index Tool'!$C$18</c15:sqref>
                        </c15:formulaRef>
                      </c:ext>
                    </c:extLst>
                    <c:strCache>
                      <c:ptCount val="1"/>
                      <c:pt idx="0">
                        <c:v>Teachers that an average-sized charter school cannot hire because its facility are not needs fully met</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Tool'!$D$18:$E$18</c15:sqref>
                        </c15:formulaRef>
                      </c:ext>
                    </c:extLst>
                    <c:numCache>
                      <c:formatCode>0</c:formatCode>
                      <c:ptCount val="2"/>
                      <c:pt idx="0">
                        <c:v>4.5844911341736463</c:v>
                      </c:pt>
                      <c:pt idx="1">
                        <c:v>7.1749312605554687</c:v>
                      </c:pt>
                    </c:numCache>
                  </c:numRef>
                </c:val>
                <c:extLst xmlns:c15="http://schemas.microsoft.com/office/drawing/2012/chart">
                  <c:ext xmlns:c16="http://schemas.microsoft.com/office/drawing/2014/chart" uri="{C3380CC4-5D6E-409C-BE32-E72D297353CC}">
                    <c16:uniqueId val="{00000009-5A11-4820-8324-477DF9A0D605}"/>
                  </c:ext>
                </c:extLst>
              </c15:ser>
            </c15:filteredBarSeries>
          </c:ext>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dk1"/>
                </a:solidFill>
                <a:latin typeface="+mn-lt"/>
                <a:ea typeface="+mn-ea"/>
                <a:cs typeface="+mn-cs"/>
              </a:defRPr>
            </a:pPr>
            <a:endParaRPr lang="en-US"/>
          </a:p>
        </c:txPr>
        <c:crossAx val="35790512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8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r>
              <a:rPr lang="en-US"/>
              <a:t>Total</a:t>
            </a:r>
            <a:r>
              <a:rPr lang="en-US" baseline="0"/>
              <a:t> Charter School </a:t>
            </a:r>
            <a:r>
              <a:rPr lang="en-US"/>
              <a:t>Facility Gap</a:t>
            </a:r>
          </a:p>
        </c:rich>
      </c:tx>
      <c:overlay val="0"/>
      <c:spPr>
        <a:noFill/>
        <a:ln>
          <a:noFill/>
        </a:ln>
        <a:effectLst/>
      </c:spPr>
      <c:txPr>
        <a:bodyPr rot="0" spcFirstLastPara="1" vertOverflow="ellipsis" vert="horz" wrap="square" anchor="ctr" anchorCtr="1"/>
        <a:lstStyle/>
        <a:p>
          <a:pPr>
            <a:defRPr sz="1920" b="1"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9753421670398938"/>
          <c:y val="0.13986444489865107"/>
          <c:w val="0.62631746331476501"/>
          <c:h val="0.83603903804193147"/>
        </c:manualLayout>
      </c:layout>
      <c:barChart>
        <c:barDir val="bar"/>
        <c:grouping val="clustered"/>
        <c:varyColors val="0"/>
        <c:ser>
          <c:idx val="3"/>
          <c:order val="3"/>
          <c:tx>
            <c:strRef>
              <c:f>'Facility Index Tool'!$C$16</c:f>
              <c:strCache>
                <c:ptCount val="1"/>
                <c:pt idx="0">
                  <c:v>Total facility gap</c:v>
                </c:pt>
              </c:strCache>
            </c:strRef>
          </c:tx>
          <c:spPr>
            <a:solidFill>
              <a:schemeClr val="accent4"/>
            </a:solidFill>
            <a:ln>
              <a:solidFill>
                <a:sysClr val="windowText" lastClr="000000"/>
              </a:solidFill>
            </a:ln>
            <a:effectLst/>
          </c:spPr>
          <c:invertIfNegative val="0"/>
          <c:dPt>
            <c:idx val="0"/>
            <c:invertIfNegative val="0"/>
            <c:bubble3D val="0"/>
            <c:spPr>
              <a:solidFill>
                <a:schemeClr val="accent5">
                  <a:lumMod val="60000"/>
                  <a:lumOff val="40000"/>
                </a:schemeClr>
              </a:solidFill>
              <a:ln>
                <a:solidFill>
                  <a:sysClr val="windowText" lastClr="000000"/>
                </a:solidFill>
              </a:ln>
              <a:effectLst/>
            </c:spPr>
            <c:extLst>
              <c:ext xmlns:c16="http://schemas.microsoft.com/office/drawing/2014/chart" uri="{C3380CC4-5D6E-409C-BE32-E72D297353CC}">
                <c16:uniqueId val="{0000000A-97F3-42D2-94BA-5A439A3AE3EC}"/>
              </c:ext>
            </c:extLst>
          </c:dPt>
          <c:dPt>
            <c:idx val="1"/>
            <c:invertIfNegative val="0"/>
            <c:bubble3D val="0"/>
            <c:spPr>
              <a:solidFill>
                <a:schemeClr val="accent5">
                  <a:lumMod val="75000"/>
                </a:schemeClr>
              </a:solidFill>
              <a:ln>
                <a:solidFill>
                  <a:sysClr val="windowText" lastClr="000000"/>
                </a:solidFill>
              </a:ln>
              <a:effectLst/>
            </c:spPr>
            <c:extLst>
              <c:ext xmlns:c16="http://schemas.microsoft.com/office/drawing/2014/chart" uri="{C3380CC4-5D6E-409C-BE32-E72D297353CC}">
                <c16:uniqueId val="{0000000B-97F3-42D2-94BA-5A439A3AE3EC}"/>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A-97F3-42D2-94BA-5A439A3AE3EC}"/>
                </c:ext>
              </c:extLst>
            </c:dLbl>
            <c:dLbl>
              <c:idx val="1"/>
              <c:layout>
                <c:manualLayout>
                  <c:x val="-1.0867184648276582E-4"/>
                  <c:y val="-7.8082600387958242E-3"/>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3798090072394101"/>
                      <c:h val="0.12400896502484038"/>
                    </c:manualLayout>
                  </c15:layout>
                </c:ext>
                <c:ext xmlns:c16="http://schemas.microsoft.com/office/drawing/2014/chart" uri="{C3380CC4-5D6E-409C-BE32-E72D297353CC}">
                  <c16:uniqueId val="{0000000B-97F3-42D2-94BA-5A439A3AE3E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Tool'!$D$12:$E$12</c:f>
              <c:strCache>
                <c:ptCount val="2"/>
                <c:pt idx="0">
                  <c:v> Current
(FY 2024)</c:v>
                </c:pt>
                <c:pt idx="1">
                  <c:v>Projected
(FY 2029)</c:v>
                </c:pt>
              </c:strCache>
            </c:strRef>
          </c:cat>
          <c:val>
            <c:numRef>
              <c:f>'Facility Index Tool'!$D$16:$E$16</c:f>
              <c:numCache>
                <c:formatCode>"$"#,##0</c:formatCode>
                <c:ptCount val="2"/>
                <c:pt idx="0">
                  <c:v>82200632.047368139</c:v>
                </c:pt>
                <c:pt idx="1">
                  <c:v>138387505.52820262</c:v>
                </c:pt>
              </c:numCache>
            </c:numRef>
          </c:val>
          <c:extLst xmlns:c15="http://schemas.microsoft.com/office/drawing/2012/chart">
            <c:ext xmlns:c16="http://schemas.microsoft.com/office/drawing/2014/chart" uri="{C3380CC4-5D6E-409C-BE32-E72D297353CC}">
              <c16:uniqueId val="{00000008-97F3-42D2-94BA-5A439A3AE3EC}"/>
            </c:ext>
          </c:extLst>
        </c:ser>
        <c:dLbls>
          <c:showLegendKey val="0"/>
          <c:showVal val="0"/>
          <c:showCatName val="0"/>
          <c:showSerName val="0"/>
          <c:showPercent val="0"/>
          <c:showBubbleSize val="0"/>
        </c:dLbls>
        <c:gapWidth val="67"/>
        <c:overlap val="-27"/>
        <c:axId val="357905120"/>
        <c:axId val="1924406016"/>
        <c:extLst>
          <c:ext xmlns:c15="http://schemas.microsoft.com/office/drawing/2012/chart" uri="{02D57815-91ED-43cb-92C2-25804820EDAC}">
            <c15:filteredBarSeries>
              <c15:ser>
                <c:idx val="0"/>
                <c:order val="0"/>
                <c:tx>
                  <c:strRef>
                    <c:extLst>
                      <c:ext uri="{02D57815-91ED-43cb-92C2-25804820EDAC}">
                        <c15:formulaRef>
                          <c15:sqref>'Facility Index Tool'!$C$13</c15:sqref>
                        </c15:formulaRef>
                      </c:ext>
                    </c:extLst>
                    <c:strCache>
                      <c:ptCount val="1"/>
                      <c:pt idx="0">
                        <c:v>Charter school enrollment</c:v>
                      </c:pt>
                    </c:strCache>
                  </c:strRef>
                </c:tx>
                <c:spPr>
                  <a:solidFill>
                    <a:schemeClr val="accent1"/>
                  </a:solidFill>
                  <a:ln>
                    <a:noFill/>
                  </a:ln>
                  <a:effectLst/>
                </c:spPr>
                <c:invertIfNegative val="0"/>
                <c:cat>
                  <c:strRef>
                    <c:extLst>
                      <c:ext uri="{02D57815-91ED-43cb-92C2-25804820EDAC}">
                        <c15:formulaRef>
                          <c15:sqref>'Facility Index Tool'!$D$12:$E$12</c15:sqref>
                        </c15:formulaRef>
                      </c:ext>
                    </c:extLst>
                    <c:strCache>
                      <c:ptCount val="2"/>
                      <c:pt idx="0">
                        <c:v> Current
(FY 2024)</c:v>
                      </c:pt>
                      <c:pt idx="1">
                        <c:v>Projected
(FY 2029)</c:v>
                      </c:pt>
                    </c:strCache>
                  </c:strRef>
                </c:cat>
                <c:val>
                  <c:numRef>
                    <c:extLst>
                      <c:ext uri="{02D57815-91ED-43cb-92C2-25804820EDAC}">
                        <c15:formulaRef>
                          <c15:sqref>'Facility Index Tool'!$D$13:$E$13</c15:sqref>
                        </c15:formulaRef>
                      </c:ext>
                    </c:extLst>
                    <c:numCache>
                      <c:formatCode>#,##0</c:formatCode>
                      <c:ptCount val="2"/>
                      <c:pt idx="0">
                        <c:v>84616.350380000003</c:v>
                      </c:pt>
                      <c:pt idx="1">
                        <c:v>92581.323031342385</c:v>
                      </c:pt>
                    </c:numCache>
                  </c:numRef>
                </c:val>
                <c:extLst>
                  <c:ext xmlns:c16="http://schemas.microsoft.com/office/drawing/2014/chart" uri="{C3380CC4-5D6E-409C-BE32-E72D297353CC}">
                    <c16:uniqueId val="{00000005-97F3-42D2-94BA-5A439A3AE3E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'Facility Index Tool'!$C$14</c15:sqref>
                        </c15:formulaRef>
                      </c:ext>
                    </c:extLst>
                    <c:strCache>
                      <c:ptCount val="1"/>
                      <c:pt idx="0">
                        <c:v>Number of charter schools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Tool'!$D$14:$E$14</c15:sqref>
                        </c15:formulaRef>
                      </c:ext>
                    </c:extLst>
                    <c:numCache>
                      <c:formatCode>#,##0</c:formatCode>
                      <c:ptCount val="2"/>
                      <c:pt idx="0">
                        <c:v>317</c:v>
                      </c:pt>
                      <c:pt idx="1">
                        <c:v>341</c:v>
                      </c:pt>
                    </c:numCache>
                  </c:numRef>
                </c:val>
                <c:extLst xmlns:c15="http://schemas.microsoft.com/office/drawing/2012/chart">
                  <c:ext xmlns:c16="http://schemas.microsoft.com/office/drawing/2014/chart" uri="{C3380CC4-5D6E-409C-BE32-E72D297353CC}">
                    <c16:uniqueId val="{00000006-97F3-42D2-94BA-5A439A3AE3E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'Facility Index Tool'!$C$15</c15:sqref>
                        </c15:formulaRef>
                      </c:ext>
                    </c:extLst>
                    <c:strCache>
                      <c:ptCount val="1"/>
                      <c:pt idx="0">
                        <c:v>Charter School Facility Index</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Tool'!$D$15:$E$15</c15:sqref>
                        </c15:formulaRef>
                      </c:ext>
                    </c:extLst>
                    <c:numCache>
                      <c:formatCode>0.0%</c:formatCode>
                      <c:ptCount val="2"/>
                      <c:pt idx="0">
                        <c:v>0.51978576312352487</c:v>
                      </c:pt>
                      <c:pt idx="1">
                        <c:v>0.42104985476087536</c:v>
                      </c:pt>
                    </c:numCache>
                  </c:numRef>
                </c:val>
                <c:extLst xmlns:c15="http://schemas.microsoft.com/office/drawing/2012/chart">
                  <c:ext xmlns:c16="http://schemas.microsoft.com/office/drawing/2014/chart" uri="{C3380CC4-5D6E-409C-BE32-E72D297353CC}">
                    <c16:uniqueId val="{00000007-97F3-42D2-94BA-5A439A3AE3EC}"/>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'Facility Index Tool'!$C$17</c15:sqref>
                        </c15:formulaRef>
                      </c:ext>
                    </c:extLst>
                    <c:strCache>
                      <c:ptCount val="1"/>
                      <c:pt idx="0">
                        <c:v>Facility gap per student</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Tool'!$D$17:$E$17</c15:sqref>
                        </c15:formulaRef>
                      </c:ext>
                    </c:extLst>
                    <c:numCache>
                      <c:formatCode>"$"#,##0</c:formatCode>
                      <c:ptCount val="2"/>
                      <c:pt idx="0">
                        <c:v>971.45092737061793</c:v>
                      </c:pt>
                      <c:pt idx="1">
                        <c:v>1494.7669896805542</c:v>
                      </c:pt>
                    </c:numCache>
                  </c:numRef>
                </c:val>
                <c:extLst xmlns:c15="http://schemas.microsoft.com/office/drawing/2012/chart">
                  <c:ext xmlns:c16="http://schemas.microsoft.com/office/drawing/2014/chart" uri="{C3380CC4-5D6E-409C-BE32-E72D297353CC}">
                    <c16:uniqueId val="{00000004-97F3-42D2-94BA-5A439A3AE3EC}"/>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'Facility Index Tool'!$C$18</c15:sqref>
                        </c15:formulaRef>
                      </c:ext>
                    </c:extLst>
                    <c:strCache>
                      <c:ptCount val="1"/>
                      <c:pt idx="0">
                        <c:v>Teachers that an average-sized charter school cannot hire because its facility are not needs fully met</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'Facility Index Tool'!$D$12:$E$12</c15:sqref>
                        </c15:formulaRef>
                      </c:ext>
                    </c:extLst>
                    <c:strCache>
                      <c:ptCount val="2"/>
                      <c:pt idx="0">
                        <c:v> Current
(FY 2024)</c:v>
                      </c:pt>
                      <c:pt idx="1">
                        <c:v>Projected
(FY 2029)</c:v>
                      </c:pt>
                    </c:strCache>
                  </c:strRef>
                </c:cat>
                <c:val>
                  <c:numRef>
                    <c:extLst xmlns:c15="http://schemas.microsoft.com/office/drawing/2012/chart">
                      <c:ext xmlns:c15="http://schemas.microsoft.com/office/drawing/2012/chart" uri="{02D57815-91ED-43cb-92C2-25804820EDAC}">
                        <c15:formulaRef>
                          <c15:sqref>'Facility Index Tool'!$D$18:$E$18</c15:sqref>
                        </c15:formulaRef>
                      </c:ext>
                    </c:extLst>
                    <c:numCache>
                      <c:formatCode>0</c:formatCode>
                      <c:ptCount val="2"/>
                      <c:pt idx="0">
                        <c:v>4.5844911341736463</c:v>
                      </c:pt>
                      <c:pt idx="1">
                        <c:v>7.1749312605554687</c:v>
                      </c:pt>
                    </c:numCache>
                  </c:numRef>
                </c:val>
                <c:extLst xmlns:c15="http://schemas.microsoft.com/office/drawing/2012/chart">
                  <c:ext xmlns:c16="http://schemas.microsoft.com/office/drawing/2014/chart" uri="{C3380CC4-5D6E-409C-BE32-E72D297353CC}">
                    <c16:uniqueId val="{00000009-97F3-42D2-94BA-5A439A3AE3EC}"/>
                  </c:ext>
                </c:extLst>
              </c15:ser>
            </c15:filteredBarSeries>
          </c:ext>
        </c:extLst>
      </c:barChart>
      <c:catAx>
        <c:axId val="357905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1"/>
        <c:axPos val="t"/>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crossAx val="357905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6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r>
              <a:rPr lang="en-US" b="1"/>
              <a:t>Per Student Charter School Facility Funding Gap</a:t>
            </a:r>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dk1"/>
              </a:solidFill>
              <a:latin typeface="+mn-lt"/>
              <a:ea typeface="+mn-ea"/>
              <a:cs typeface="+mn-cs"/>
            </a:defRPr>
          </a:pPr>
          <a:endParaRPr lang="en-US"/>
        </a:p>
      </c:txPr>
    </c:title>
    <c:autoTitleDeleted val="0"/>
    <c:plotArea>
      <c:layout/>
      <c:barChart>
        <c:barDir val="col"/>
        <c:grouping val="clustered"/>
        <c:varyColors val="0"/>
        <c:ser>
          <c:idx val="0"/>
          <c:order val="0"/>
          <c:tx>
            <c:strRef>
              <c:f>'Facility Index Tool'!$C$17</c:f>
              <c:strCache>
                <c:ptCount val="1"/>
                <c:pt idx="0">
                  <c:v>Facility gap per student</c:v>
                </c:pt>
              </c:strCache>
            </c:strRef>
          </c:tx>
          <c:spPr>
            <a:solidFill>
              <a:schemeClr val="accent1"/>
            </a:solidFill>
            <a:ln>
              <a:solidFill>
                <a:schemeClr val="tx1"/>
              </a:solidFill>
            </a:ln>
            <a:effectLst/>
          </c:spPr>
          <c:invertIfNegative val="0"/>
          <c:dPt>
            <c:idx val="0"/>
            <c:invertIfNegative val="0"/>
            <c:bubble3D val="0"/>
            <c:spPr>
              <a:solidFill>
                <a:schemeClr val="accent5">
                  <a:lumMod val="60000"/>
                  <a:lumOff val="40000"/>
                </a:schemeClr>
              </a:solidFill>
              <a:ln>
                <a:solidFill>
                  <a:schemeClr val="tx1"/>
                </a:solidFill>
              </a:ln>
              <a:effectLst/>
            </c:spPr>
            <c:extLst>
              <c:ext xmlns:c16="http://schemas.microsoft.com/office/drawing/2014/chart" uri="{C3380CC4-5D6E-409C-BE32-E72D297353CC}">
                <c16:uniqueId val="{0000000B-1E5D-4076-99DE-B84663C70BA9}"/>
              </c:ext>
            </c:extLst>
          </c:dPt>
          <c:dPt>
            <c:idx val="1"/>
            <c:invertIfNegative val="0"/>
            <c:bubble3D val="0"/>
            <c:spPr>
              <a:solidFill>
                <a:schemeClr val="accent5">
                  <a:lumMod val="75000"/>
                </a:schemeClr>
              </a:solidFill>
              <a:ln>
                <a:solidFill>
                  <a:schemeClr val="tx1"/>
                </a:solidFill>
              </a:ln>
              <a:effectLst/>
            </c:spPr>
            <c:extLst>
              <c:ext xmlns:c16="http://schemas.microsoft.com/office/drawing/2014/chart" uri="{C3380CC4-5D6E-409C-BE32-E72D297353CC}">
                <c16:uniqueId val="{0000000C-1E5D-4076-99DE-B84663C70BA9}"/>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'Facility Index Tool'!$D$12:$E$12</c:f>
              <c:strCache>
                <c:ptCount val="2"/>
                <c:pt idx="0">
                  <c:v> Current
(FY 2024)</c:v>
                </c:pt>
                <c:pt idx="1">
                  <c:v>Projected
(FY 2029)</c:v>
                </c:pt>
              </c:strCache>
            </c:strRef>
          </c:cat>
          <c:val>
            <c:numRef>
              <c:f>'Facility Index Tool'!$D$17:$E$17</c:f>
              <c:numCache>
                <c:formatCode>"$"#,##0</c:formatCode>
                <c:ptCount val="2"/>
                <c:pt idx="0">
                  <c:v>971.45092737061793</c:v>
                </c:pt>
                <c:pt idx="1">
                  <c:v>1494.7669896805542</c:v>
                </c:pt>
              </c:numCache>
            </c:numRef>
          </c:val>
          <c:extLst xmlns:c15="http://schemas.microsoft.com/office/drawing/2012/chart">
            <c:ext xmlns:c16="http://schemas.microsoft.com/office/drawing/2014/chart" uri="{C3380CC4-5D6E-409C-BE32-E72D297353CC}">
              <c16:uniqueId val="{00000005-1E5D-4076-99DE-B84663C70BA9}"/>
            </c:ext>
          </c:extLst>
        </c:ser>
        <c:dLbls>
          <c:dLblPos val="outEnd"/>
          <c:showLegendKey val="0"/>
          <c:showVal val="1"/>
          <c:showCatName val="0"/>
          <c:showSerName val="0"/>
          <c:showPercent val="0"/>
          <c:showBubbleSize val="0"/>
        </c:dLbls>
        <c:gapWidth val="67"/>
        <c:overlap val="-27"/>
        <c:axId val="357905120"/>
        <c:axId val="1924406016"/>
        <c:extLst/>
      </c:barChart>
      <c:catAx>
        <c:axId val="35790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n-US"/>
          </a:p>
        </c:txPr>
        <c:crossAx val="1924406016"/>
        <c:crosses val="autoZero"/>
        <c:auto val="1"/>
        <c:lblAlgn val="ctr"/>
        <c:lblOffset val="100"/>
        <c:noMultiLvlLbl val="0"/>
      </c:catAx>
      <c:valAx>
        <c:axId val="19244060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dk1"/>
                </a:solidFill>
                <a:latin typeface="+mn-lt"/>
                <a:ea typeface="+mn-ea"/>
                <a:cs typeface="+mn-cs"/>
              </a:defRPr>
            </a:pPr>
            <a:endParaRPr lang="en-US"/>
          </a:p>
        </c:txPr>
        <c:crossAx val="357905120"/>
        <c:crosses val="autoZero"/>
        <c:crossBetween val="between"/>
        <c:majorUnit val="5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sz="1400">
          <a:solidFill>
            <a:schemeClr val="dk1"/>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358442B-867D-4FEA-9C7C-66A999303BFA}">
  <sheetPr/>
  <sheetViews>
    <sheetView zoomScale="6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56EC70F-7667-4A79-AD8A-24C7017A6651}">
  <sheetPr/>
  <sheetViews>
    <sheetView zoomScale="5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347135</xdr:colOff>
      <xdr:row>33</xdr:row>
      <xdr:rowOff>107646</xdr:rowOff>
    </xdr:from>
    <xdr:to>
      <xdr:col>3</xdr:col>
      <xdr:colOff>740834</xdr:colOff>
      <xdr:row>50</xdr:row>
      <xdr:rowOff>63500</xdr:rowOff>
    </xdr:to>
    <xdr:graphicFrame macro="">
      <xdr:nvGraphicFramePr>
        <xdr:cNvPr id="12" name="Chart 6">
          <a:extLst>
            <a:ext uri="{FF2B5EF4-FFF2-40B4-BE49-F238E27FC236}">
              <a16:creationId xmlns:a16="http://schemas.microsoft.com/office/drawing/2014/main" id="{8B00A56F-9569-49C8-8C20-8879AA50E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702728</xdr:colOff>
      <xdr:row>33</xdr:row>
      <xdr:rowOff>107949</xdr:rowOff>
    </xdr:from>
    <xdr:to>
      <xdr:col>5</xdr:col>
      <xdr:colOff>762000</xdr:colOff>
      <xdr:row>47</xdr:row>
      <xdr:rowOff>179915</xdr:rowOff>
    </xdr:to>
    <xdr:graphicFrame macro="">
      <xdr:nvGraphicFramePr>
        <xdr:cNvPr id="3" name="Chart 9">
          <a:extLst>
            <a:ext uri="{FF2B5EF4-FFF2-40B4-BE49-F238E27FC236}">
              <a16:creationId xmlns:a16="http://schemas.microsoft.com/office/drawing/2014/main" id="{0ED95541-66D5-48B0-A14E-059030A0C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692147</xdr:colOff>
      <xdr:row>48</xdr:row>
      <xdr:rowOff>84668</xdr:rowOff>
    </xdr:from>
    <xdr:to>
      <xdr:col>5</xdr:col>
      <xdr:colOff>770096</xdr:colOff>
      <xdr:row>63</xdr:row>
      <xdr:rowOff>61808</xdr:rowOff>
    </xdr:to>
    <xdr:graphicFrame macro="">
      <xdr:nvGraphicFramePr>
        <xdr:cNvPr id="6" name="Chart 10">
          <a:extLst>
            <a:ext uri="{FF2B5EF4-FFF2-40B4-BE49-F238E27FC236}">
              <a16:creationId xmlns:a16="http://schemas.microsoft.com/office/drawing/2014/main" id="{EE01E84B-CF5A-4CFD-8780-77BB9B3531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222250</xdr:colOff>
      <xdr:row>20</xdr:row>
      <xdr:rowOff>2116</xdr:rowOff>
    </xdr:from>
    <xdr:to>
      <xdr:col>16</xdr:col>
      <xdr:colOff>169334</xdr:colOff>
      <xdr:row>32</xdr:row>
      <xdr:rowOff>169333</xdr:rowOff>
    </xdr:to>
    <xdr:graphicFrame macro="">
      <xdr:nvGraphicFramePr>
        <xdr:cNvPr id="7" name="Chart 11">
          <a:extLst>
            <a:ext uri="{FF2B5EF4-FFF2-40B4-BE49-F238E27FC236}">
              <a16:creationId xmlns:a16="http://schemas.microsoft.com/office/drawing/2014/main" id="{87FA642F-1E16-411D-808A-320D6E865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878416</xdr:colOff>
      <xdr:row>33</xdr:row>
      <xdr:rowOff>118534</xdr:rowOff>
    </xdr:from>
    <xdr:to>
      <xdr:col>16</xdr:col>
      <xdr:colOff>179915</xdr:colOff>
      <xdr:row>48</xdr:row>
      <xdr:rowOff>1</xdr:rowOff>
    </xdr:to>
    <xdr:graphicFrame macro="">
      <xdr:nvGraphicFramePr>
        <xdr:cNvPr id="93" name="Chart 12">
          <a:extLst>
            <a:ext uri="{FF2B5EF4-FFF2-40B4-BE49-F238E27FC236}">
              <a16:creationId xmlns:a16="http://schemas.microsoft.com/office/drawing/2014/main" id="{151EF160-E60B-4E75-9B9F-BFB839CED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846666</xdr:colOff>
      <xdr:row>33</xdr:row>
      <xdr:rowOff>103716</xdr:rowOff>
    </xdr:from>
    <xdr:to>
      <xdr:col>4</xdr:col>
      <xdr:colOff>656166</xdr:colOff>
      <xdr:row>50</xdr:row>
      <xdr:rowOff>84666</xdr:rowOff>
    </xdr:to>
    <xdr:graphicFrame macro="">
      <xdr:nvGraphicFramePr>
        <xdr:cNvPr id="10" name="Chart 13">
          <a:extLst>
            <a:ext uri="{FF2B5EF4-FFF2-40B4-BE49-F238E27FC236}">
              <a16:creationId xmlns:a16="http://schemas.microsoft.com/office/drawing/2014/main" id="{22AC3398-423C-4CB1-A4A1-51E179DC9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132290</xdr:colOff>
      <xdr:row>2</xdr:row>
      <xdr:rowOff>15874</xdr:rowOff>
    </xdr:from>
    <xdr:to>
      <xdr:col>10</xdr:col>
      <xdr:colOff>253999</xdr:colOff>
      <xdr:row>11</xdr:row>
      <xdr:rowOff>179917</xdr:rowOff>
    </xdr:to>
    <xdr:graphicFrame macro="">
      <xdr:nvGraphicFramePr>
        <xdr:cNvPr id="72" name="Chart 11">
          <a:extLst>
            <a:ext uri="{FF2B5EF4-FFF2-40B4-BE49-F238E27FC236}">
              <a16:creationId xmlns:a16="http://schemas.microsoft.com/office/drawing/2014/main" id="{53EEB0F7-13A4-491D-BCF5-F77D46566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142873</xdr:colOff>
      <xdr:row>11</xdr:row>
      <xdr:rowOff>306917</xdr:rowOff>
    </xdr:from>
    <xdr:to>
      <xdr:col>16</xdr:col>
      <xdr:colOff>169332</xdr:colOff>
      <xdr:row>18</xdr:row>
      <xdr:rowOff>332316</xdr:rowOff>
    </xdr:to>
    <xdr:graphicFrame macro="">
      <xdr:nvGraphicFramePr>
        <xdr:cNvPr id="88" name="Chart 12">
          <a:extLst>
            <a:ext uri="{FF2B5EF4-FFF2-40B4-BE49-F238E27FC236}">
              <a16:creationId xmlns:a16="http://schemas.microsoft.com/office/drawing/2014/main" id="{E0B8AEC3-C6BA-4FAE-A4E3-B758565BD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370417</xdr:colOff>
      <xdr:row>1</xdr:row>
      <xdr:rowOff>497415</xdr:rowOff>
    </xdr:from>
    <xdr:to>
      <xdr:col>16</xdr:col>
      <xdr:colOff>129116</xdr:colOff>
      <xdr:row>6</xdr:row>
      <xdr:rowOff>804333</xdr:rowOff>
    </xdr:to>
    <xdr:graphicFrame macro="">
      <xdr:nvGraphicFramePr>
        <xdr:cNvPr id="63" name="Chart 6">
          <a:extLst>
            <a:ext uri="{FF2B5EF4-FFF2-40B4-BE49-F238E27FC236}">
              <a16:creationId xmlns:a16="http://schemas.microsoft.com/office/drawing/2014/main" id="{DE28B55B-75D2-4D7F-83C1-2578C922D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381001</xdr:colOff>
      <xdr:row>6</xdr:row>
      <xdr:rowOff>920750</xdr:rowOff>
    </xdr:from>
    <xdr:to>
      <xdr:col>16</xdr:col>
      <xdr:colOff>116418</xdr:colOff>
      <xdr:row>11</xdr:row>
      <xdr:rowOff>169333</xdr:rowOff>
    </xdr:to>
    <xdr:graphicFrame macro="">
      <xdr:nvGraphicFramePr>
        <xdr:cNvPr id="94" name="Chart 13">
          <a:extLst>
            <a:ext uri="{FF2B5EF4-FFF2-40B4-BE49-F238E27FC236}">
              <a16:creationId xmlns:a16="http://schemas.microsoft.com/office/drawing/2014/main" id="{C646729B-E920-4A02-9E47-75A7DBBCC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74083</xdr:colOff>
      <xdr:row>94</xdr:row>
      <xdr:rowOff>0</xdr:rowOff>
    </xdr:from>
    <xdr:to>
      <xdr:col>3</xdr:col>
      <xdr:colOff>2021415</xdr:colOff>
      <xdr:row>115</xdr:row>
      <xdr:rowOff>31751</xdr:rowOff>
    </xdr:to>
    <xdr:graphicFrame macro="">
      <xdr:nvGraphicFramePr>
        <xdr:cNvPr id="31" name="Chart 6">
          <a:extLst>
            <a:ext uri="{FF2B5EF4-FFF2-40B4-BE49-F238E27FC236}">
              <a16:creationId xmlns:a16="http://schemas.microsoft.com/office/drawing/2014/main" id="{E0F6A9FD-34FC-494C-8CAC-757A1A771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63499</xdr:colOff>
      <xdr:row>93</xdr:row>
      <xdr:rowOff>169336</xdr:rowOff>
    </xdr:from>
    <xdr:to>
      <xdr:col>7</xdr:col>
      <xdr:colOff>21166</xdr:colOff>
      <xdr:row>115</xdr:row>
      <xdr:rowOff>2</xdr:rowOff>
    </xdr:to>
    <xdr:graphicFrame macro="">
      <xdr:nvGraphicFramePr>
        <xdr:cNvPr id="32" name="Chart 31">
          <a:extLst>
            <a:ext uri="{FF2B5EF4-FFF2-40B4-BE49-F238E27FC236}">
              <a16:creationId xmlns:a16="http://schemas.microsoft.com/office/drawing/2014/main" id="{BD5E19C8-0A69-46AF-B3B2-1E3D0D744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201079</xdr:colOff>
      <xdr:row>93</xdr:row>
      <xdr:rowOff>158754</xdr:rowOff>
    </xdr:from>
    <xdr:to>
      <xdr:col>16</xdr:col>
      <xdr:colOff>328080</xdr:colOff>
      <xdr:row>107</xdr:row>
      <xdr:rowOff>131237</xdr:rowOff>
    </xdr:to>
    <xdr:graphicFrame macro="">
      <xdr:nvGraphicFramePr>
        <xdr:cNvPr id="33" name="Chart 12">
          <a:extLst>
            <a:ext uri="{FF2B5EF4-FFF2-40B4-BE49-F238E27FC236}">
              <a16:creationId xmlns:a16="http://schemas.microsoft.com/office/drawing/2014/main" id="{F0639405-3D60-4B0C-8F80-339BE2602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64677" cy="6288548"/>
    <xdr:graphicFrame macro="">
      <xdr:nvGraphicFramePr>
        <xdr:cNvPr id="2" name="Chart 1">
          <a:extLst>
            <a:ext uri="{FF2B5EF4-FFF2-40B4-BE49-F238E27FC236}">
              <a16:creationId xmlns:a16="http://schemas.microsoft.com/office/drawing/2014/main" id="{8D13A73A-7D8D-4587-95FA-25868831E3F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a:extLst>
            <a:ext uri="{FF2B5EF4-FFF2-40B4-BE49-F238E27FC236}">
              <a16:creationId xmlns:a16="http://schemas.microsoft.com/office/drawing/2014/main" id="{C3D075AB-E0D8-4326-BC32-2372B2D63C2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9</xdr:col>
      <xdr:colOff>282576</xdr:colOff>
      <xdr:row>2</xdr:row>
      <xdr:rowOff>295280</xdr:rowOff>
    </xdr:from>
    <xdr:to>
      <xdr:col>18</xdr:col>
      <xdr:colOff>185208</xdr:colOff>
      <xdr:row>14</xdr:row>
      <xdr:rowOff>322789</xdr:rowOff>
    </xdr:to>
    <xdr:graphicFrame macro="">
      <xdr:nvGraphicFramePr>
        <xdr:cNvPr id="2" name="Chart 1">
          <a:extLst>
            <a:ext uri="{FF2B5EF4-FFF2-40B4-BE49-F238E27FC236}">
              <a16:creationId xmlns:a16="http://schemas.microsoft.com/office/drawing/2014/main" id="{76CD104D-23BF-4559-8824-B6CC84619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740038</xdr:colOff>
      <xdr:row>18</xdr:row>
      <xdr:rowOff>112447</xdr:rowOff>
    </xdr:from>
    <xdr:to>
      <xdr:col>7</xdr:col>
      <xdr:colOff>301623</xdr:colOff>
      <xdr:row>34</xdr:row>
      <xdr:rowOff>93398</xdr:rowOff>
    </xdr:to>
    <xdr:graphicFrame macro="">
      <xdr:nvGraphicFramePr>
        <xdr:cNvPr id="3" name="Chart 2">
          <a:extLst>
            <a:ext uri="{FF2B5EF4-FFF2-40B4-BE49-F238E27FC236}">
              <a16:creationId xmlns:a16="http://schemas.microsoft.com/office/drawing/2014/main" id="{76569DAF-C14A-4EB7-A91A-0ABCEB297E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3</xdr:row>
      <xdr:rowOff>0</xdr:rowOff>
    </xdr:from>
    <xdr:to>
      <xdr:col>31</xdr:col>
      <xdr:colOff>516465</xdr:colOff>
      <xdr:row>15</xdr:row>
      <xdr:rowOff>6342</xdr:rowOff>
    </xdr:to>
    <xdr:graphicFrame macro="">
      <xdr:nvGraphicFramePr>
        <xdr:cNvPr id="4" name="Chart 3">
          <a:extLst>
            <a:ext uri="{FF2B5EF4-FFF2-40B4-BE49-F238E27FC236}">
              <a16:creationId xmlns:a16="http://schemas.microsoft.com/office/drawing/2014/main" id="{30DD1660-9213-4B01-82A5-ED2D7957C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402167</xdr:colOff>
      <xdr:row>18</xdr:row>
      <xdr:rowOff>52917</xdr:rowOff>
    </xdr:from>
    <xdr:to>
      <xdr:col>21</xdr:col>
      <xdr:colOff>365919</xdr:colOff>
      <xdr:row>34</xdr:row>
      <xdr:rowOff>33868</xdr:rowOff>
    </xdr:to>
    <xdr:graphicFrame macro="">
      <xdr:nvGraphicFramePr>
        <xdr:cNvPr id="5" name="Chart 4">
          <a:extLst>
            <a:ext uri="{FF2B5EF4-FFF2-40B4-BE49-F238E27FC236}">
              <a16:creationId xmlns:a16="http://schemas.microsoft.com/office/drawing/2014/main" id="{D8F1FB0E-09F1-4205-A9DF-37F9249DA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tt Robinson" id="{25ADDDEA-F340-4B3B-920A-0A10579CB8D2}" userId="S::matt@excelined.org::ed417e91-7937-42fb-ab27-d6f0dafcd9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 dT="2020-04-09T20:17:29.11" personId="{25ADDDEA-F340-4B3B-920A-0A10579CB8D2}" id="{5C75C38C-98D2-4B04-9696-3E3A2F37FE72}">
    <text>Step 1: Verify/Adjust any assumptions
A, B, C (with 1-2 lines per each)
Step 2: View how need is currently being met / could be met through assumptions and current policies
Step 3: Policy Adjustments to meet needs
Step 4: View how need is being met after adjustments and policy changes
2025 Values, not 2020.</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excelined.org/wp-content/uploads/2024/03/Building_For_Success_Ohio_2024Update_Feb28.pdf" TargetMode="External"/><Relationship Id="rId1" Type="http://schemas.openxmlformats.org/officeDocument/2006/relationships/hyperlink" Target="https://www.excelined.org/wp-content/uploads/2019/10/ExcelinEd.Quality.Funding.CharterFacilityIndex.October20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B7CD-D318-49AC-B315-0CBEB8767E04}">
  <dimension ref="B1:H16"/>
  <sheetViews>
    <sheetView zoomScale="75" zoomScaleNormal="75" workbookViewId="0"/>
  </sheetViews>
  <sheetFormatPr defaultRowHeight="14.45"/>
  <cols>
    <col min="2" max="6" width="28.7109375" customWidth="1"/>
  </cols>
  <sheetData>
    <row r="1" spans="2:8" ht="21">
      <c r="B1" s="186" t="s">
        <v>0</v>
      </c>
      <c r="C1" s="187"/>
      <c r="D1" s="187"/>
      <c r="E1" s="187"/>
      <c r="F1" s="187"/>
      <c r="G1" s="120"/>
      <c r="H1" s="120"/>
    </row>
    <row r="2" spans="2:8" ht="8.4499999999999993" customHeight="1">
      <c r="B2" s="123"/>
      <c r="C2" s="124"/>
      <c r="D2" s="124"/>
      <c r="E2" s="124"/>
      <c r="F2" s="124"/>
      <c r="G2" s="120"/>
      <c r="H2" s="120"/>
    </row>
    <row r="3" spans="2:8" ht="24" customHeight="1">
      <c r="B3" s="197" t="s">
        <v>1</v>
      </c>
      <c r="C3" s="198"/>
      <c r="D3" s="198"/>
      <c r="E3" s="198"/>
      <c r="F3" s="199"/>
    </row>
    <row r="4" spans="2:8" ht="66" customHeight="1">
      <c r="B4" s="191" t="s">
        <v>2</v>
      </c>
      <c r="C4" s="192"/>
      <c r="D4" s="192"/>
      <c r="E4" s="192"/>
      <c r="F4" s="193"/>
    </row>
    <row r="5" spans="2:8" ht="48" customHeight="1">
      <c r="B5" s="194" t="s">
        <v>3</v>
      </c>
      <c r="C5" s="195"/>
      <c r="D5" s="195"/>
      <c r="E5" s="195"/>
      <c r="F5" s="196"/>
    </row>
    <row r="6" spans="2:8" ht="14.45" customHeight="1">
      <c r="B6" s="232" t="s">
        <v>4</v>
      </c>
      <c r="C6" s="233"/>
      <c r="D6" s="233"/>
      <c r="E6" s="233"/>
      <c r="F6" s="234"/>
    </row>
    <row r="7" spans="2:8" ht="13.5" customHeight="1">
      <c r="B7" s="122"/>
      <c r="C7" s="122"/>
      <c r="D7" s="122"/>
      <c r="E7" s="122"/>
      <c r="F7" s="122"/>
    </row>
    <row r="8" spans="2:8" ht="21.95" customHeight="1">
      <c r="B8" s="200" t="s">
        <v>5</v>
      </c>
      <c r="C8" s="201"/>
      <c r="D8" s="201"/>
      <c r="E8" s="201"/>
      <c r="F8" s="202"/>
    </row>
    <row r="9" spans="2:8" ht="32.1" customHeight="1">
      <c r="B9" s="180" t="s">
        <v>6</v>
      </c>
      <c r="C9" s="181"/>
      <c r="D9" s="181"/>
      <c r="E9" s="181"/>
      <c r="F9" s="182"/>
    </row>
    <row r="10" spans="2:8" ht="42.95" customHeight="1">
      <c r="B10" s="180" t="s">
        <v>7</v>
      </c>
      <c r="C10" s="181"/>
      <c r="D10" s="181"/>
      <c r="E10" s="181"/>
      <c r="F10" s="182"/>
    </row>
    <row r="11" spans="2:8" ht="17.45" customHeight="1">
      <c r="B11" s="180" t="s">
        <v>8</v>
      </c>
      <c r="C11" s="181"/>
      <c r="D11" s="181"/>
      <c r="E11" s="181"/>
      <c r="F11" s="182"/>
    </row>
    <row r="12" spans="2:8" ht="17.45" customHeight="1">
      <c r="B12" s="180" t="s">
        <v>9</v>
      </c>
      <c r="C12" s="181"/>
      <c r="D12" s="181"/>
      <c r="E12" s="181"/>
      <c r="F12" s="182"/>
    </row>
    <row r="13" spans="2:8" ht="48.75" customHeight="1">
      <c r="B13" s="188" t="s">
        <v>10</v>
      </c>
      <c r="C13" s="189"/>
      <c r="D13" s="189"/>
      <c r="E13" s="189"/>
      <c r="F13" s="190"/>
    </row>
    <row r="14" spans="2:8" ht="17.45" customHeight="1">
      <c r="B14" s="180" t="s">
        <v>11</v>
      </c>
      <c r="C14" s="181"/>
      <c r="D14" s="181"/>
      <c r="E14" s="181"/>
      <c r="F14" s="182"/>
    </row>
    <row r="15" spans="2:8" ht="32.450000000000003" customHeight="1">
      <c r="B15" s="180" t="s">
        <v>12</v>
      </c>
      <c r="C15" s="181"/>
      <c r="D15" s="181"/>
      <c r="E15" s="181"/>
      <c r="F15" s="182"/>
    </row>
    <row r="16" spans="2:8" ht="19.5" customHeight="1">
      <c r="B16" s="183" t="s">
        <v>13</v>
      </c>
      <c r="C16" s="184"/>
      <c r="D16" s="184"/>
      <c r="E16" s="184"/>
      <c r="F16" s="185"/>
    </row>
  </sheetData>
  <mergeCells count="14">
    <mergeCell ref="B15:F15"/>
    <mergeCell ref="B16:F16"/>
    <mergeCell ref="B1:F1"/>
    <mergeCell ref="B10:F10"/>
    <mergeCell ref="B11:F11"/>
    <mergeCell ref="B12:F12"/>
    <mergeCell ref="B13:F13"/>
    <mergeCell ref="B14:F14"/>
    <mergeCell ref="B4:F4"/>
    <mergeCell ref="B5:F5"/>
    <mergeCell ref="B6:F6"/>
    <mergeCell ref="B3:F3"/>
    <mergeCell ref="B8:F8"/>
    <mergeCell ref="B9:F9"/>
  </mergeCells>
  <hyperlinks>
    <hyperlink ref="B6:F6" r:id="rId1" display="For more details on the Charter School Facility Index and its benefits, see ExcelinEd, Building for Success: How States Can Address Charter School Facility Needs (2019)." xr:uid="{B022FDED-F4C3-4BB3-B322-C4A4FFE1D478}"/>
    <hyperlink ref="B16:F16" r:id="rId2" display="For more information about sources and assumptions, see ExcelinEd, Building for Success in Ohio 2024 (2024)." xr:uid="{27D6070B-7061-451B-A43C-25519DD025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B629E-A271-4688-BF64-01005257E612}">
  <dimension ref="A1:AR132"/>
  <sheetViews>
    <sheetView tabSelected="1" zoomScale="60" zoomScaleNormal="60" workbookViewId="0">
      <selection activeCell="G7" sqref="G7"/>
    </sheetView>
  </sheetViews>
  <sheetFormatPr defaultRowHeight="14.45"/>
  <cols>
    <col min="1" max="2" width="5.28515625" customWidth="1"/>
    <col min="3" max="3" width="29.140625" customWidth="1"/>
    <col min="4" max="4" width="47.85546875" customWidth="1"/>
    <col min="5" max="5" width="47.42578125" customWidth="1"/>
    <col min="6" max="6" width="14.42578125" customWidth="1"/>
    <col min="7" max="7" width="13.85546875" customWidth="1"/>
    <col min="8" max="8" width="16.140625" customWidth="1"/>
    <col min="9" max="9" width="19.5703125" customWidth="1"/>
    <col min="10" max="10" width="14.42578125" customWidth="1"/>
  </cols>
  <sheetData>
    <row r="1" spans="1:44" s="156" customFormat="1" ht="21">
      <c r="B1" s="221" t="s">
        <v>14</v>
      </c>
      <c r="C1" s="222"/>
      <c r="D1" s="222"/>
      <c r="E1" s="222"/>
      <c r="F1" s="222"/>
      <c r="G1" s="222"/>
      <c r="H1" s="235"/>
      <c r="I1" s="235"/>
      <c r="J1" s="235"/>
      <c r="K1" s="235"/>
      <c r="L1" s="235"/>
      <c r="M1" s="235"/>
      <c r="N1" s="235"/>
      <c r="O1" s="235"/>
    </row>
    <row r="2" spans="1:44" ht="39.6" customHeight="1">
      <c r="A2" s="65"/>
      <c r="B2" s="211" t="s">
        <v>15</v>
      </c>
      <c r="C2" s="223"/>
      <c r="D2" s="223"/>
      <c r="E2" s="223"/>
      <c r="F2" s="223"/>
      <c r="G2" s="223"/>
      <c r="H2" s="236"/>
      <c r="I2" s="236"/>
      <c r="J2" s="236"/>
      <c r="K2" s="236"/>
      <c r="L2" s="236"/>
      <c r="M2" s="236"/>
      <c r="N2" s="236"/>
      <c r="O2" s="236"/>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row>
    <row r="3" spans="1:44" ht="18.600000000000001" customHeight="1">
      <c r="A3" s="65"/>
      <c r="B3" s="63"/>
      <c r="C3" s="207" t="s">
        <v>16</v>
      </c>
      <c r="D3" s="207"/>
      <c r="E3" s="237"/>
      <c r="F3" s="237"/>
      <c r="G3" s="238"/>
      <c r="H3" s="125"/>
      <c r="I3" s="99"/>
      <c r="J3" s="77"/>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row>
    <row r="4" spans="1:44" ht="24" customHeight="1">
      <c r="A4" s="65"/>
      <c r="B4" s="64"/>
      <c r="C4" s="211" t="s">
        <v>17</v>
      </c>
      <c r="D4" s="211"/>
      <c r="E4" s="211"/>
      <c r="F4" s="211"/>
      <c r="G4" s="239"/>
      <c r="H4" s="125"/>
      <c r="I4" s="99"/>
      <c r="J4" s="77"/>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row>
    <row r="5" spans="1:44" ht="25.5" customHeight="1">
      <c r="A5" s="65"/>
      <c r="B5" s="64"/>
      <c r="C5" s="212"/>
      <c r="D5" s="212"/>
      <c r="E5" s="212"/>
      <c r="F5" s="212"/>
      <c r="G5" s="240"/>
      <c r="H5" s="126"/>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row>
    <row r="6" spans="1:44" ht="33.950000000000003" customHeight="1">
      <c r="A6" s="65"/>
      <c r="B6" s="64"/>
      <c r="C6" s="148" t="s">
        <v>18</v>
      </c>
      <c r="D6" s="208" t="s">
        <v>19</v>
      </c>
      <c r="E6" s="209"/>
      <c r="F6" s="149" t="s">
        <v>20</v>
      </c>
      <c r="G6" s="149" t="s">
        <v>21</v>
      </c>
      <c r="H6" s="121"/>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row>
    <row r="7" spans="1:44" ht="80.45" customHeight="1">
      <c r="A7" s="65"/>
      <c r="B7" s="64"/>
      <c r="C7" s="161" t="s">
        <v>22</v>
      </c>
      <c r="D7" s="214" t="str">
        <f>"Over the past 5 years, charter school enrollment has grown by "&amp;ROUND('Data Details'!D4*100,2) &amp; " percent per year in Ohio. However, growth could be more if Ohio meets more of charter school facility needs. The tool assumes growth would be 25 percent higher, which means "&amp;ROUND('Data Details'!D4*100*1.25,2) &amp; " percent growth each year. You can put in a different annual growth rate. Even if there is no enrollment enrollment, there is inflation in facility-related costs, so the same amount of funding meets less of the need in FY 2029."</f>
        <v>Over the past 5 years, charter school enrollment has grown by 1.45 percent per year in Ohio. However, growth could be more if Ohio meets more of charter school facility needs. The tool assumes growth would be 25 percent higher, which means 1.82 percent growth each year. You can put in a different annual growth rate. Even if there is no enrollment enrollment, there is inflation in facility-related costs, so the same amount of funding meets less of the need in FY 2029.</v>
      </c>
      <c r="E7" s="215"/>
      <c r="F7" s="178">
        <f>'Data Details'!D6</f>
        <v>1.8154813064934765E-2</v>
      </c>
      <c r="G7" s="179">
        <f>F7*1</f>
        <v>1.8154813064934765E-2</v>
      </c>
      <c r="H7" s="127"/>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row>
    <row r="8" spans="1:44" ht="48.6" customHeight="1">
      <c r="A8" s="65"/>
      <c r="B8" s="64"/>
      <c r="C8" s="161" t="s">
        <v>23</v>
      </c>
      <c r="D8" s="216" t="str">
        <f>"Average facility-related costs for charter schools in Ohio are about "&amp; ROUND('Data Details'!D11*100,0)&amp;" percent of overall expenditures, which equals $2,063 per student. Traditional districts are spending $3,393 per student. If you feel that facility-related costs for Ohio charter schools should be different, put in a different percentage."</f>
        <v>Average facility-related costs for charter schools in Ohio are about 13 percent of overall expenditures, which equals $2,063 per student. Traditional districts are spending $3,393 per student. If you feel that facility-related costs for Ohio charter schools should be different, put in a different percentage.</v>
      </c>
      <c r="E8" s="224"/>
      <c r="F8" s="109">
        <f>'Data Details'!D11</f>
        <v>0.13266318183920775</v>
      </c>
      <c r="G8" s="154">
        <f>F8</f>
        <v>0.13266318183920775</v>
      </c>
      <c r="H8" s="127"/>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row>
    <row r="9" spans="1:44" ht="50.1" customHeight="1">
      <c r="A9" s="65"/>
      <c r="B9" s="64"/>
      <c r="C9" s="161" t="s">
        <v>24</v>
      </c>
      <c r="D9" s="216" t="str">
        <f>"Charter schools in Ohio typically pay about $"&amp;ROUND('Data Details'!D22/1000,0)&amp;",000 per student to purchase a facility and renovate if necessary. Traditional public schools in Ohio pay about $"&amp;ROUND('Data Details'!D23/1000,0)&amp;",000 per student to construct a new facility. If you feel that charter schools should pay a different cost, put in a different amount per student."</f>
        <v>Charter schools in Ohio typically pay about $21,000 per student to purchase a facility and renovate if necessary. Traditional public schools in Ohio pay about $51,000 per student to construct a new facility. If you feel that charter schools should pay a different cost, put in a different amount per student.</v>
      </c>
      <c r="E9" s="215"/>
      <c r="F9" s="100">
        <f>'Data Details'!D22</f>
        <v>21161.235569715147</v>
      </c>
      <c r="G9" s="155">
        <f>F9</f>
        <v>21161.235569715147</v>
      </c>
      <c r="H9" s="128"/>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row>
    <row r="10" spans="1:44" ht="30" customHeight="1">
      <c r="A10" s="65"/>
      <c r="B10" s="64"/>
      <c r="C10" s="219" t="s">
        <v>25</v>
      </c>
      <c r="D10" s="219"/>
      <c r="E10" s="219"/>
      <c r="F10" s="219"/>
      <c r="G10" s="238"/>
      <c r="H10" s="125"/>
      <c r="I10" s="99"/>
      <c r="J10" s="77"/>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row>
    <row r="11" spans="1:44" ht="45.95" customHeight="1">
      <c r="A11" s="65"/>
      <c r="B11" s="64"/>
      <c r="C11" s="211"/>
      <c r="D11" s="211"/>
      <c r="E11" s="211"/>
      <c r="F11" s="211"/>
      <c r="G11" s="239"/>
      <c r="H11" s="126"/>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row>
    <row r="12" spans="1:44" ht="36" customHeight="1">
      <c r="A12" s="65"/>
      <c r="B12" s="64"/>
      <c r="C12" s="148" t="s">
        <v>26</v>
      </c>
      <c r="D12" s="149" t="s">
        <v>27</v>
      </c>
      <c r="E12" s="149" t="s">
        <v>28</v>
      </c>
      <c r="F12" s="220"/>
      <c r="G12" s="218"/>
      <c r="H12" s="121"/>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row>
    <row r="13" spans="1:44" ht="15.6">
      <c r="A13" s="65"/>
      <c r="B13" s="64"/>
      <c r="C13" s="101" t="s">
        <v>29</v>
      </c>
      <c r="D13" s="110">
        <f>'Data Details'!D3</f>
        <v>84616.350380000003</v>
      </c>
      <c r="E13" s="116">
        <f>'Data Details'!I3</f>
        <v>92581.323031342385</v>
      </c>
      <c r="F13" s="217"/>
      <c r="G13" s="218"/>
      <c r="H13" s="126"/>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row>
    <row r="14" spans="1:44" ht="15.6">
      <c r="A14" s="65"/>
      <c r="B14" s="64"/>
      <c r="C14" s="101" t="s">
        <v>30</v>
      </c>
      <c r="D14" s="110">
        <f>'Data Details'!D17</f>
        <v>317</v>
      </c>
      <c r="E14" s="116">
        <f>'Data Details'!I17</f>
        <v>341</v>
      </c>
      <c r="F14" s="217"/>
      <c r="G14" s="218"/>
      <c r="H14" s="127"/>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row>
    <row r="15" spans="1:44" ht="15.6">
      <c r="A15" s="65"/>
      <c r="B15" s="64"/>
      <c r="C15" s="101" t="s">
        <v>31</v>
      </c>
      <c r="D15" s="112">
        <f>'Data Details'!E111</f>
        <v>0.51978576312352487</v>
      </c>
      <c r="E15" s="117">
        <f>'Data Details'!G111</f>
        <v>0.42104985476087536</v>
      </c>
      <c r="F15" s="226"/>
      <c r="G15" s="218"/>
      <c r="H15" s="127"/>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row>
    <row r="16" spans="1:44" ht="15.6">
      <c r="A16" s="65"/>
      <c r="B16" s="64"/>
      <c r="C16" s="101" t="s">
        <v>32</v>
      </c>
      <c r="D16" s="114">
        <f>'Data Details'!D112</f>
        <v>82200632.047368139</v>
      </c>
      <c r="E16" s="118">
        <f>'Data Details'!F112</f>
        <v>138387505.52820262</v>
      </c>
      <c r="F16" s="227"/>
      <c r="G16" s="218"/>
      <c r="H16" s="127"/>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row>
    <row r="17" spans="1:43" ht="15.6">
      <c r="A17" s="65"/>
      <c r="B17" s="64"/>
      <c r="C17" s="101" t="s">
        <v>33</v>
      </c>
      <c r="D17" s="114">
        <f>'Data Details'!D113</f>
        <v>971.45092737061793</v>
      </c>
      <c r="E17" s="118">
        <f>'Data Details'!F113</f>
        <v>1494.7669896805542</v>
      </c>
      <c r="F17" s="227"/>
      <c r="G17" s="218"/>
      <c r="H17" s="127"/>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row>
    <row r="18" spans="1:43" ht="61.5" customHeight="1">
      <c r="A18" s="65"/>
      <c r="B18" s="64"/>
      <c r="C18" s="101" t="s">
        <v>34</v>
      </c>
      <c r="D18" s="115">
        <f>'Data Details'!D114</f>
        <v>4.5844911341736463</v>
      </c>
      <c r="E18" s="119">
        <f>'Data Details'!F114</f>
        <v>7.1749312605554687</v>
      </c>
      <c r="F18" s="228"/>
      <c r="G18" s="218"/>
      <c r="H18" s="127"/>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row>
    <row r="19" spans="1:43" ht="27" customHeight="1">
      <c r="A19" s="65"/>
      <c r="B19" s="70"/>
      <c r="C19" s="71"/>
      <c r="D19" s="71"/>
      <c r="E19" s="71"/>
      <c r="F19" s="71"/>
      <c r="G19" s="72"/>
      <c r="H19" s="129"/>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row>
    <row r="20" spans="1:43" ht="27"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row>
    <row r="21" spans="1:43" ht="21.6" customHeight="1">
      <c r="A21" s="65"/>
      <c r="B21" s="63"/>
      <c r="C21" s="213" t="s">
        <v>35</v>
      </c>
      <c r="D21" s="213"/>
      <c r="E21" s="213"/>
      <c r="F21" s="241"/>
      <c r="G21" s="241"/>
      <c r="H21" s="241"/>
      <c r="I21" s="242"/>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1:43" ht="18.95" customHeight="1">
      <c r="A22" s="65"/>
      <c r="B22" s="64"/>
      <c r="C22" s="211" t="s">
        <v>36</v>
      </c>
      <c r="D22" s="211"/>
      <c r="E22" s="211"/>
      <c r="F22" s="211"/>
      <c r="G22" s="243"/>
      <c r="H22" s="243"/>
      <c r="I22" s="239"/>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1:43" ht="42.95" customHeight="1">
      <c r="A23" s="65"/>
      <c r="B23" s="64"/>
      <c r="C23" s="212"/>
      <c r="D23" s="212"/>
      <c r="E23" s="212"/>
      <c r="F23" s="212"/>
      <c r="G23" s="244"/>
      <c r="H23" s="244"/>
      <c r="I23" s="240"/>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1:43" ht="32.450000000000003" customHeight="1">
      <c r="A24" s="65"/>
      <c r="B24" s="64"/>
      <c r="C24" s="148" t="s">
        <v>37</v>
      </c>
      <c r="D24" s="208" t="s">
        <v>19</v>
      </c>
      <c r="E24" s="209"/>
      <c r="F24" s="148" t="s">
        <v>38</v>
      </c>
      <c r="G24" s="148" t="s">
        <v>39</v>
      </c>
      <c r="H24" s="149" t="s">
        <v>40</v>
      </c>
      <c r="I24" s="149" t="s">
        <v>41</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1:43" ht="66.95" customHeight="1">
      <c r="A25" s="65"/>
      <c r="B25" s="64"/>
      <c r="C25" s="161" t="s">
        <v>42</v>
      </c>
      <c r="D25" s="210" t="s">
        <v>43</v>
      </c>
      <c r="E25" s="204"/>
      <c r="F25" s="100">
        <f>'Data Details'!F35</f>
        <v>1000</v>
      </c>
      <c r="G25" s="157">
        <v>1000</v>
      </c>
      <c r="H25" s="102">
        <f>'Data Details'!K37</f>
        <v>0</v>
      </c>
      <c r="I25" s="111">
        <f>'Data Details'!I36-'Data Details'!F36</f>
        <v>0</v>
      </c>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1:43" ht="84.6" customHeight="1">
      <c r="A26" s="65"/>
      <c r="B26" s="64"/>
      <c r="C26" s="162" t="s">
        <v>44</v>
      </c>
      <c r="D26" s="210" t="str">
        <f>"Ohio can provide charter schools with access to the $"&amp;ROUND('Data Details'!F42/1000000,1) &amp; " million in annual state facility grants proportional to their share of public school students, which in five years will be "&amp;ROUND('Data Details'!F58*100,1) &amp;" percent. Charter schools currently receive none of these grants, which pay for facility construction and renovation. Enter " &amp; ROUND('Data Details'!F58*100,1) &amp; " percent to require that charter schools receive a proportional amount, or a different percent if desired. A revised policy may include allowing smaller schools to access the funds and the purchase of existing facilities."</f>
        <v>Ohio can provide charter schools with access to the $300 million in annual state facility grants proportional to their share of public school students, which in five years will be 6.2 percent. Charter schools currently receive none of these grants, which pay for facility construction and renovation. Enter 6.2 percent to require that charter schools receive a proportional amount, or a different percent if desired. A revised policy may include allowing smaller schools to access the funds and the purchase of existing facilities.</v>
      </c>
      <c r="E26" s="204"/>
      <c r="F26" s="107">
        <v>0</v>
      </c>
      <c r="G26" s="159">
        <f>'Data Details'!F58*0</f>
        <v>0</v>
      </c>
      <c r="H26" s="108">
        <f>'Data Details'!K50</f>
        <v>0</v>
      </c>
      <c r="I26" s="113">
        <v>0</v>
      </c>
      <c r="J26" s="77"/>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row>
    <row r="27" spans="1:43" ht="83.45" customHeight="1">
      <c r="A27" s="65"/>
      <c r="B27" s="64"/>
      <c r="C27" s="162" t="s">
        <v>45</v>
      </c>
      <c r="D27" s="210" t="str">
        <f>"Ohio can allow charter schools to access $"&amp;ROUND('Data Details'!F54/1000000000,1) &amp;" billion in annual facility-related local revenues proportional to their share of public school students, which in five years will be "&amp;ROUND('Data Details'!F58*100,1) &amp;" percent. Charter schools currently receive none of these local funds. Enter " &amp; ROUND('Data Details'!F58*100,1) &amp; " percent to require that charter schools receive a proportional amount, or a different percent if desired. There is no cost to the state for sharing these local funds with charter schools. This would not apply retroactively for previously issued bonds."</f>
        <v>Ohio can allow charter schools to access $1.9 billion in annual facility-related local revenues proportional to their share of public school students, which in five years will be 6.2 percent. Charter schools currently receive none of these local funds. Enter 6.2 percent to require that charter schools receive a proportional amount, or a different percent if desired. There is no cost to the state for sharing these local funds with charter schools. This would not apply retroactively for previously issued bonds.</v>
      </c>
      <c r="E27" s="204"/>
      <c r="F27" s="107">
        <v>0</v>
      </c>
      <c r="G27" s="159">
        <f>'Data Details'!F58*0</f>
        <v>0</v>
      </c>
      <c r="H27" s="108">
        <f>'Data Details'!K65</f>
        <v>0</v>
      </c>
      <c r="I27" s="113">
        <v>0</v>
      </c>
      <c r="J27" s="77"/>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row>
    <row r="28" spans="1:43" ht="96.6" customHeight="1">
      <c r="A28" s="65"/>
      <c r="B28" s="64"/>
      <c r="C28" s="161" t="s">
        <v>46</v>
      </c>
      <c r="D28" s="210" t="s">
        <v>47</v>
      </c>
      <c r="E28" s="204"/>
      <c r="F28" s="109">
        <f>'Data Details'!F74</f>
        <v>0</v>
      </c>
      <c r="G28" s="159">
        <f>0.1*0</f>
        <v>0</v>
      </c>
      <c r="H28" s="102">
        <f>'Data Details'!K78</f>
        <v>0</v>
      </c>
      <c r="I28" s="111">
        <v>0</v>
      </c>
      <c r="J28" s="77"/>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row>
    <row r="29" spans="1:43" ht="95.45" customHeight="1">
      <c r="A29" s="65"/>
      <c r="B29" s="64"/>
      <c r="C29" s="161" t="s">
        <v>48</v>
      </c>
      <c r="D29" s="210" t="s">
        <v>49</v>
      </c>
      <c r="E29" s="225"/>
      <c r="F29" s="109">
        <f>'Data Details'!F81</f>
        <v>0.1</v>
      </c>
      <c r="G29" s="159">
        <f>F29*1</f>
        <v>0.1</v>
      </c>
      <c r="H29" s="102">
        <f>'Data Details'!K84</f>
        <v>0</v>
      </c>
      <c r="I29" s="111">
        <v>0</v>
      </c>
      <c r="J29" s="77"/>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row>
    <row r="30" spans="1:43" ht="65.45" customHeight="1">
      <c r="A30" s="65"/>
      <c r="B30" s="64"/>
      <c r="C30" s="161" t="s">
        <v>50</v>
      </c>
      <c r="D30" s="210" t="s">
        <v>51</v>
      </c>
      <c r="E30" s="204"/>
      <c r="F30" s="100">
        <v>0</v>
      </c>
      <c r="G30" s="158">
        <f>250000000*0</f>
        <v>0</v>
      </c>
      <c r="H30" s="102">
        <f>'Data Details'!K98</f>
        <v>0</v>
      </c>
      <c r="I30" s="111">
        <f>(G30-F30)*0.02/30</f>
        <v>0</v>
      </c>
      <c r="J30" s="77"/>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row>
    <row r="31" spans="1:43" ht="117" customHeight="1">
      <c r="A31" s="65"/>
      <c r="B31" s="64"/>
      <c r="C31" s="161" t="s">
        <v>52</v>
      </c>
      <c r="D31" s="203" t="s">
        <v>53</v>
      </c>
      <c r="E31" s="204"/>
      <c r="F31" s="100">
        <v>0</v>
      </c>
      <c r="G31" s="160">
        <f>10000000*0</f>
        <v>0</v>
      </c>
      <c r="H31" s="102">
        <f>'Data Details'!K109</f>
        <v>0</v>
      </c>
      <c r="I31" s="111">
        <v>0</v>
      </c>
      <c r="J31" s="77"/>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row>
    <row r="32" spans="1:43" ht="22.5" customHeight="1">
      <c r="A32" s="65"/>
      <c r="B32" s="64"/>
      <c r="C32" s="150" t="s">
        <v>54</v>
      </c>
      <c r="D32" s="205"/>
      <c r="E32" s="206"/>
      <c r="F32" s="151"/>
      <c r="G32" s="151"/>
      <c r="H32" s="152">
        <f>SUM(H25:H31)</f>
        <v>0</v>
      </c>
      <c r="I32" s="153">
        <f>SUM(I25:I31)</f>
        <v>0</v>
      </c>
      <c r="J32" s="77"/>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row>
    <row r="33" spans="1:44" ht="14.1" customHeight="1">
      <c r="A33" s="65"/>
      <c r="B33" s="70"/>
      <c r="C33" s="71"/>
      <c r="D33" s="71"/>
      <c r="E33" s="71"/>
      <c r="F33" s="71"/>
      <c r="G33" s="71"/>
      <c r="H33" s="71"/>
      <c r="I33" s="72"/>
      <c r="J33" s="65"/>
      <c r="K33" s="77"/>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row>
    <row r="34" spans="1:44">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row>
    <row r="35" spans="1:44">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row>
    <row r="36" spans="1:44">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row>
    <row r="37" spans="1:44">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row>
    <row r="38" spans="1:44">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row>
    <row r="39" spans="1:44">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row>
    <row r="40" spans="1:44">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c r="A41" s="65"/>
      <c r="B41" s="65"/>
      <c r="C41" s="65"/>
      <c r="D41" s="65"/>
      <c r="E41" s="65"/>
      <c r="F41" s="65"/>
      <c r="G41" s="65"/>
      <c r="H41" s="65"/>
      <c r="I41" s="65"/>
      <c r="J41" s="65"/>
      <c r="K41" s="77"/>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row>
    <row r="42" spans="1:44">
      <c r="A42" s="65"/>
      <c r="B42" s="65"/>
      <c r="C42" s="65"/>
      <c r="D42" s="65"/>
      <c r="E42" s="65"/>
      <c r="F42" s="65"/>
      <c r="G42" s="65"/>
      <c r="H42" s="65"/>
      <c r="I42" s="65"/>
      <c r="J42" s="65"/>
      <c r="K42" s="77"/>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row>
    <row r="43" spans="1:44">
      <c r="A43" s="65"/>
      <c r="B43" s="65"/>
      <c r="C43" s="65"/>
      <c r="D43" s="65"/>
      <c r="E43" s="65"/>
      <c r="F43" s="65"/>
      <c r="G43" s="65"/>
      <c r="H43" s="65"/>
      <c r="I43" s="65"/>
      <c r="J43" s="65"/>
      <c r="K43" s="77"/>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row>
    <row r="44" spans="1:44">
      <c r="A44" s="65"/>
      <c r="B44" s="65"/>
      <c r="C44" s="65"/>
      <c r="D44" s="65"/>
      <c r="E44" s="65"/>
      <c r="F44" s="65"/>
      <c r="G44" s="65"/>
      <c r="H44" s="65"/>
      <c r="I44" s="65"/>
      <c r="J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row>
    <row r="45" spans="1:44">
      <c r="A45" s="65"/>
      <c r="B45" s="65"/>
      <c r="C45" s="65"/>
      <c r="D45" s="65"/>
      <c r="E45" s="65"/>
      <c r="F45" s="65"/>
      <c r="G45" s="65"/>
      <c r="H45" s="65"/>
      <c r="I45" s="65"/>
      <c r="J45" s="65"/>
      <c r="K45" s="77"/>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row>
    <row r="46" spans="1:44">
      <c r="A46" s="65"/>
      <c r="B46" s="65"/>
      <c r="C46" s="65"/>
      <c r="D46" s="65"/>
      <c r="E46" s="65"/>
      <c r="F46" s="65"/>
      <c r="G46" s="65"/>
      <c r="H46" s="65"/>
      <c r="I46" s="65"/>
      <c r="J46" s="65"/>
      <c r="K46" s="77"/>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row>
    <row r="47" spans="1:44">
      <c r="A47" s="65"/>
      <c r="B47" s="65"/>
      <c r="C47" s="65"/>
      <c r="D47" s="65"/>
      <c r="E47" s="65"/>
      <c r="F47" s="65"/>
      <c r="G47" s="65"/>
      <c r="H47" s="65"/>
      <c r="I47" s="65"/>
      <c r="J47" s="65"/>
      <c r="K47" s="77"/>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row>
    <row r="48" spans="1:44">
      <c r="A48" s="65"/>
      <c r="B48" s="65"/>
      <c r="C48" s="65"/>
      <c r="D48" s="65"/>
      <c r="E48" s="65"/>
      <c r="F48" s="65"/>
      <c r="G48" s="65"/>
      <c r="H48" s="65"/>
      <c r="I48" s="65"/>
      <c r="J48" s="65"/>
      <c r="K48" s="77"/>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row>
    <row r="49" spans="1:44">
      <c r="A49" s="65"/>
      <c r="B49" s="65"/>
      <c r="C49" s="65"/>
      <c r="D49" s="65"/>
      <c r="E49" s="65"/>
      <c r="F49" s="65"/>
      <c r="G49" s="65"/>
      <c r="H49" s="65"/>
      <c r="I49" s="65"/>
      <c r="J49" s="65"/>
      <c r="K49" s="77"/>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row>
    <row r="50" spans="1:44">
      <c r="A50" s="65"/>
      <c r="B50" s="65"/>
      <c r="C50" s="65"/>
      <c r="D50" s="65"/>
      <c r="E50" s="65"/>
      <c r="F50" s="65"/>
      <c r="G50" s="65"/>
      <c r="H50" s="65"/>
      <c r="I50" s="65"/>
      <c r="J50" s="65"/>
      <c r="K50" s="77"/>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row>
    <row r="51" spans="1:44">
      <c r="A51" s="65"/>
      <c r="B51" s="65"/>
      <c r="C51" s="65"/>
      <c r="D51" s="65"/>
      <c r="E51" s="65"/>
      <c r="F51" s="65"/>
      <c r="G51" s="65"/>
      <c r="H51" s="65"/>
      <c r="I51" s="65"/>
      <c r="J51" s="65"/>
      <c r="K51" s="77"/>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c r="A52" s="65"/>
      <c r="B52" s="65"/>
      <c r="C52" s="65"/>
      <c r="D52" s="65"/>
      <c r="E52" s="65"/>
      <c r="F52" s="65"/>
      <c r="G52" s="65"/>
      <c r="H52" s="65"/>
      <c r="I52" s="65"/>
      <c r="J52" s="65"/>
      <c r="K52" s="77"/>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c r="A53" s="65"/>
      <c r="B53" s="65"/>
      <c r="C53" s="65"/>
      <c r="D53" s="65"/>
      <c r="E53" s="65"/>
      <c r="F53" s="65"/>
      <c r="G53" s="65"/>
      <c r="H53" s="65"/>
      <c r="I53" s="65"/>
      <c r="J53" s="65"/>
      <c r="K53" s="77"/>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c r="A54" s="65"/>
      <c r="B54" s="65"/>
      <c r="C54" s="65"/>
      <c r="D54" s="65"/>
      <c r="E54" s="65"/>
      <c r="F54" s="65"/>
      <c r="G54" s="65"/>
      <c r="H54" s="65"/>
      <c r="I54" s="65"/>
      <c r="J54" s="65"/>
      <c r="K54" s="77"/>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row>
    <row r="57" spans="1:44">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row>
    <row r="58" spans="1:44">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row>
    <row r="59" spans="1:44">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row>
    <row r="60" spans="1:44">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row>
    <row r="61" spans="1:44">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row>
    <row r="62" spans="1:44">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row>
    <row r="63" spans="1:44">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row>
    <row r="64" spans="1:44">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row>
    <row r="65" spans="1:44">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row>
    <row r="66" spans="1:44">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row>
    <row r="67" spans="1:44">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row>
    <row r="68" spans="1:44">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row>
    <row r="69" spans="1:44">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row>
    <row r="70" spans="1:44">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row>
    <row r="71" spans="1:44">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row>
    <row r="72" spans="1:44" ht="36">
      <c r="A72" s="65"/>
      <c r="B72" s="138"/>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row>
    <row r="73" spans="1:44">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row>
    <row r="74" spans="1:44">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row>
    <row r="75" spans="1:44">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row>
    <row r="76" spans="1:44">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row>
    <row r="77" spans="1:44">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row>
    <row r="78" spans="1:44">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row>
    <row r="79" spans="1:44">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row>
    <row r="80" spans="1:44">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row>
    <row r="81" spans="1:44">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row>
    <row r="82" spans="1:44">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row>
    <row r="83" spans="1:44">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row>
    <row r="84" spans="1:44">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row>
    <row r="85" spans="1:44">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row>
    <row r="86" spans="1:44">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row>
    <row r="87" spans="1:44">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row>
    <row r="88" spans="1:44">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row>
    <row r="89" spans="1:44">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row>
    <row r="90" spans="1:44">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row>
    <row r="91" spans="1:44">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row>
    <row r="92" spans="1:44">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row>
    <row r="93" spans="1:44">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row>
    <row r="94" spans="1:44">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row>
    <row r="95" spans="1:44">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row>
    <row r="96" spans="1:44">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row>
    <row r="97" spans="1:44">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row>
    <row r="98" spans="1:44">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row>
    <row r="99" spans="1:44">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row>
    <row r="100" spans="1:44">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row>
    <row r="101" spans="1:44">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row>
    <row r="102" spans="1:44">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row>
    <row r="103" spans="1:44">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row>
    <row r="104" spans="1:44">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row>
    <row r="105" spans="1:44">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row>
    <row r="106" spans="1:44">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row>
    <row r="107" spans="1:44">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row>
    <row r="108" spans="1:44">
      <c r="A108" s="65"/>
      <c r="B108" s="65"/>
      <c r="C108" s="65"/>
      <c r="D108" s="65"/>
      <c r="E108" s="65"/>
      <c r="F108" s="65"/>
      <c r="G108" s="65"/>
      <c r="H108" s="65"/>
      <c r="I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row>
    <row r="109" spans="1:44">
      <c r="A109" s="65"/>
      <c r="B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row>
    <row r="110" spans="1:44">
      <c r="A110" s="65"/>
      <c r="B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row>
    <row r="111" spans="1:44">
      <c r="A111" s="65"/>
      <c r="B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row>
    <row r="112" spans="1:44">
      <c r="A112" s="65"/>
      <c r="B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row>
    <row r="113" spans="1:44">
      <c r="A113" s="65"/>
      <c r="B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row>
    <row r="114" spans="1:44">
      <c r="A114" s="65"/>
      <c r="B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row>
    <row r="115" spans="1:44">
      <c r="A115" s="65"/>
      <c r="B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row>
    <row r="116" spans="1:44">
      <c r="A116" s="65"/>
      <c r="B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row>
    <row r="117" spans="1:44">
      <c r="A117" s="65"/>
      <c r="B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row>
    <row r="118" spans="1:44">
      <c r="A118" s="65"/>
      <c r="B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row>
    <row r="119" spans="1:44">
      <c r="A119" s="65"/>
      <c r="B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row>
    <row r="120" spans="1:44">
      <c r="A120" s="65"/>
      <c r="B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row>
    <row r="121" spans="1:44">
      <c r="A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row>
    <row r="122" spans="1:44">
      <c r="A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row>
    <row r="123" spans="1:44">
      <c r="A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row>
    <row r="124" spans="1:44">
      <c r="A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row>
    <row r="125" spans="1:44">
      <c r="A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row>
    <row r="126" spans="1:44">
      <c r="A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row>
    <row r="127" spans="1:44">
      <c r="A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row>
    <row r="128" spans="1:44">
      <c r="A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row>
    <row r="129" spans="1:44">
      <c r="A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row>
    <row r="130" spans="1:44">
      <c r="A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row>
    <row r="131" spans="1:44">
      <c r="A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row>
    <row r="132" spans="1:44">
      <c r="A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row>
  </sheetData>
  <protectedRanges>
    <protectedRange sqref="G7:G9 G25:G31" name="Updated Values"/>
  </protectedRanges>
  <mergeCells count="27">
    <mergeCell ref="F12:G12"/>
    <mergeCell ref="B1:O1"/>
    <mergeCell ref="B2:O2"/>
    <mergeCell ref="D8:E8"/>
    <mergeCell ref="D29:E29"/>
    <mergeCell ref="D26:E26"/>
    <mergeCell ref="F14:G14"/>
    <mergeCell ref="F15:G15"/>
    <mergeCell ref="F16:G16"/>
    <mergeCell ref="F17:G17"/>
    <mergeCell ref="F18:G18"/>
    <mergeCell ref="D31:E31"/>
    <mergeCell ref="D32:E32"/>
    <mergeCell ref="C3:G3"/>
    <mergeCell ref="D24:E24"/>
    <mergeCell ref="D25:E25"/>
    <mergeCell ref="D27:E27"/>
    <mergeCell ref="D28:E28"/>
    <mergeCell ref="C22:I23"/>
    <mergeCell ref="C21:I21"/>
    <mergeCell ref="D6:E6"/>
    <mergeCell ref="D7:E7"/>
    <mergeCell ref="D9:E9"/>
    <mergeCell ref="F13:G13"/>
    <mergeCell ref="C4:G5"/>
    <mergeCell ref="C10:G11"/>
    <mergeCell ref="D30:E30"/>
  </mergeCells>
  <pageMargins left="0.7" right="0.7" top="0.75" bottom="0.75" header="0.3" footer="0.3"/>
  <pageSetup scale="44" fitToHeight="0" orientation="landscape" r:id="rId1"/>
  <rowBreaks count="2" manualBreakCount="2">
    <brk id="19" max="16" man="1"/>
    <brk id="6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5101-56DF-4282-98FA-3030EA3F5043}">
  <dimension ref="C1:L180"/>
  <sheetViews>
    <sheetView topLeftCell="C1" zoomScaleNormal="100" workbookViewId="0">
      <selection activeCell="D4" sqref="D4"/>
    </sheetView>
  </sheetViews>
  <sheetFormatPr defaultRowHeight="14.45"/>
  <cols>
    <col min="1" max="2" width="0" hidden="1" customWidth="1"/>
    <col min="3" max="3" width="43.5703125" style="44" customWidth="1"/>
    <col min="4" max="4" width="13.5703125" customWidth="1"/>
    <col min="5" max="5" width="11.5703125" style="28" customWidth="1"/>
    <col min="6" max="6" width="13.7109375" customWidth="1"/>
    <col min="7" max="7" width="7.42578125" style="28" customWidth="1"/>
    <col min="9" max="9" width="14.140625" customWidth="1"/>
    <col min="10" max="10" width="7.42578125" style="28" customWidth="1"/>
    <col min="11" max="11" width="9.7109375" style="3" customWidth="1"/>
  </cols>
  <sheetData>
    <row r="1" spans="3:11">
      <c r="C1" s="45"/>
      <c r="D1" s="229" t="s">
        <v>55</v>
      </c>
      <c r="E1" s="229"/>
      <c r="F1" s="229" t="s">
        <v>56</v>
      </c>
      <c r="G1" s="229"/>
      <c r="I1" s="229" t="s">
        <v>39</v>
      </c>
      <c r="J1" s="229"/>
      <c r="K1" s="9" t="s">
        <v>57</v>
      </c>
    </row>
    <row r="2" spans="3:11">
      <c r="C2" s="46" t="s">
        <v>58</v>
      </c>
      <c r="D2" s="24"/>
      <c r="E2" s="23"/>
      <c r="F2" s="24"/>
      <c r="G2" s="23"/>
      <c r="I2" s="24"/>
      <c r="J2" s="23"/>
      <c r="K2" s="23"/>
    </row>
    <row r="3" spans="3:11">
      <c r="C3" s="45" t="s">
        <v>59</v>
      </c>
      <c r="D3" s="20">
        <f>'Ohio Figures'!J5</f>
        <v>84616.350380000003</v>
      </c>
      <c r="E3" s="23"/>
      <c r="F3" s="20">
        <f>D3*(1+D7)^5</f>
        <v>92581.323031342385</v>
      </c>
      <c r="G3" s="23"/>
      <c r="I3" s="20">
        <f>D3*(1+D7)^5</f>
        <v>92581.323031342385</v>
      </c>
      <c r="J3" s="23"/>
      <c r="K3" s="31"/>
    </row>
    <row r="4" spans="3:11">
      <c r="C4" s="45" t="s">
        <v>60</v>
      </c>
      <c r="D4" s="176">
        <f>'Ohio Figures'!K6</f>
        <v>1.4523850451947812E-2</v>
      </c>
      <c r="E4" s="23"/>
      <c r="F4" s="20"/>
      <c r="G4" s="23"/>
      <c r="I4" s="20"/>
      <c r="J4" s="23"/>
      <c r="K4" s="31"/>
    </row>
    <row r="5" spans="3:11" ht="29.1">
      <c r="C5" s="45" t="s">
        <v>61</v>
      </c>
      <c r="D5" s="12">
        <v>0.25</v>
      </c>
      <c r="E5" s="23"/>
      <c r="F5" s="73">
        <v>0.25</v>
      </c>
      <c r="G5" s="23"/>
      <c r="I5" s="73">
        <f>F5</f>
        <v>0.25</v>
      </c>
      <c r="J5" s="23"/>
      <c r="K5" s="31"/>
    </row>
    <row r="6" spans="3:11">
      <c r="C6" s="45" t="s">
        <v>62</v>
      </c>
      <c r="D6" s="176">
        <f>D4*(1+D5)</f>
        <v>1.8154813064934765E-2</v>
      </c>
      <c r="E6" s="23"/>
      <c r="F6" s="73"/>
      <c r="G6" s="23"/>
      <c r="I6" s="73"/>
      <c r="J6" s="23"/>
      <c r="K6" s="31"/>
    </row>
    <row r="7" spans="3:11">
      <c r="C7" s="45" t="s">
        <v>63</v>
      </c>
      <c r="D7" s="177">
        <f>'Facility Index Tool'!G7</f>
        <v>1.8154813064934765E-2</v>
      </c>
      <c r="E7" s="23"/>
      <c r="F7" s="73"/>
      <c r="G7" s="23"/>
      <c r="I7" s="73"/>
      <c r="J7" s="23"/>
      <c r="K7" s="31"/>
    </row>
    <row r="8" spans="3:11" ht="29.1">
      <c r="C8" s="45" t="s">
        <v>64</v>
      </c>
      <c r="D8" s="21">
        <f>'Ohio Figures'!AV42*(1+D15)</f>
        <v>15248.791506143814</v>
      </c>
      <c r="E8" s="23"/>
      <c r="F8" s="21"/>
      <c r="G8" s="23"/>
      <c r="I8" s="21"/>
      <c r="J8" s="23"/>
      <c r="K8" s="37"/>
    </row>
    <row r="9" spans="3:11">
      <c r="C9" s="45" t="s">
        <v>65</v>
      </c>
      <c r="D9" s="12">
        <f>D11*'Ohio Figures'!BA49</f>
        <v>8.2698050108287943E-2</v>
      </c>
      <c r="E9" s="23"/>
      <c r="F9" s="12"/>
      <c r="G9" s="23"/>
      <c r="I9" s="12"/>
      <c r="J9" s="23"/>
      <c r="K9" s="9"/>
    </row>
    <row r="10" spans="3:11" ht="29.1">
      <c r="C10" s="45" t="s">
        <v>66</v>
      </c>
      <c r="D10" s="12">
        <f>D11*'Ohio Figures'!BC49</f>
        <v>4.9965131730919855E-2</v>
      </c>
      <c r="E10" s="23"/>
      <c r="F10" s="12"/>
      <c r="G10" s="23"/>
      <c r="I10" s="12"/>
      <c r="J10" s="23"/>
      <c r="K10" s="9"/>
    </row>
    <row r="11" spans="3:11" ht="29.1">
      <c r="C11" s="45" t="s">
        <v>67</v>
      </c>
      <c r="D11" s="12">
        <f>D12/D8</f>
        <v>0.13266318183920775</v>
      </c>
      <c r="E11" s="23"/>
      <c r="F11" s="12"/>
      <c r="G11" s="23"/>
      <c r="I11" s="12"/>
      <c r="J11" s="23"/>
      <c r="K11" s="9"/>
    </row>
    <row r="12" spans="3:11">
      <c r="C12" s="45" t="s">
        <v>68</v>
      </c>
      <c r="D12" s="21">
        <f>'Ohio Figures'!AW41*(1+D15)</f>
        <v>2022.9532004077234</v>
      </c>
      <c r="E12" s="23"/>
      <c r="F12" s="12"/>
      <c r="G12" s="23"/>
      <c r="I12" s="12"/>
      <c r="J12" s="23"/>
      <c r="K12" s="9"/>
    </row>
    <row r="13" spans="3:11">
      <c r="C13" s="45" t="s">
        <v>69</v>
      </c>
      <c r="D13" s="53">
        <f>'Facility Index Tool'!G8</f>
        <v>0.13266318183920775</v>
      </c>
      <c r="E13" s="23"/>
      <c r="F13" s="12"/>
      <c r="G13" s="23"/>
      <c r="I13" s="12"/>
      <c r="J13" s="23"/>
      <c r="K13" s="9"/>
    </row>
    <row r="14" spans="3:11">
      <c r="C14" s="45" t="s">
        <v>70</v>
      </c>
      <c r="D14" s="21">
        <f>D13*D8</f>
        <v>2022.9532004077234</v>
      </c>
      <c r="E14" s="23"/>
      <c r="F14" s="21">
        <f>D14*(1+D15)^5</f>
        <v>2581.857871480745</v>
      </c>
      <c r="G14" s="23"/>
      <c r="I14" s="21">
        <f>D14*(1+D15)^5</f>
        <v>2581.857871480745</v>
      </c>
      <c r="J14" s="23"/>
      <c r="K14" s="9"/>
    </row>
    <row r="15" spans="3:11">
      <c r="C15" s="45" t="s">
        <v>71</v>
      </c>
      <c r="D15" s="12">
        <v>0.05</v>
      </c>
      <c r="E15" s="23"/>
      <c r="F15" s="21"/>
      <c r="G15" s="23"/>
      <c r="I15" s="21"/>
      <c r="J15" s="23"/>
      <c r="K15" s="9"/>
    </row>
    <row r="16" spans="3:11">
      <c r="C16" s="47" t="s">
        <v>72</v>
      </c>
      <c r="D16" s="29">
        <f>D3*D14</f>
        <v>171174916.80804229</v>
      </c>
      <c r="E16" s="23"/>
      <c r="F16" s="29">
        <f>F3*F14</f>
        <v>239031817.62057292</v>
      </c>
      <c r="G16" s="23"/>
      <c r="I16" s="29">
        <f>I3*I14</f>
        <v>239031817.62057292</v>
      </c>
      <c r="J16" s="23"/>
      <c r="K16" s="23"/>
    </row>
    <row r="17" spans="3:11">
      <c r="C17" s="45" t="s">
        <v>30</v>
      </c>
      <c r="D17" s="20">
        <f>'Ohio Figures'!J8</f>
        <v>317</v>
      </c>
      <c r="E17" s="23"/>
      <c r="F17" s="20">
        <f>ROUND(D17*(1+D19)^5,0)</f>
        <v>341</v>
      </c>
      <c r="G17" s="23"/>
      <c r="I17" s="20">
        <f>ROUND(D17*(1+D19)^5,0)</f>
        <v>341</v>
      </c>
      <c r="J17" s="23"/>
      <c r="K17" s="9"/>
    </row>
    <row r="18" spans="3:11" ht="29.1">
      <c r="C18" s="45" t="s">
        <v>73</v>
      </c>
      <c r="D18" s="176">
        <f>'Ohio Figures'!K9</f>
        <v>1.1993489708139422E-2</v>
      </c>
      <c r="E18" s="23"/>
      <c r="F18" s="20"/>
      <c r="G18" s="23"/>
      <c r="I18" s="20"/>
      <c r="J18" s="23"/>
      <c r="K18" s="9"/>
    </row>
    <row r="19" spans="3:11">
      <c r="C19" s="45" t="s">
        <v>62</v>
      </c>
      <c r="D19" s="176">
        <f>D18*(1+D5)*D7/D6</f>
        <v>1.4991862135174274E-2</v>
      </c>
      <c r="E19" s="23"/>
      <c r="F19" s="12"/>
      <c r="G19" s="23"/>
      <c r="I19" s="12"/>
      <c r="J19" s="23"/>
      <c r="K19" s="9"/>
    </row>
    <row r="20" spans="3:11" hidden="1">
      <c r="C20" s="45" t="s">
        <v>74</v>
      </c>
      <c r="D20" s="139">
        <v>8</v>
      </c>
      <c r="E20" s="23"/>
      <c r="F20" s="139">
        <f>ROUNDDOWN(F17*('Ohio Figures'!K12*(1+D5)),0)</f>
        <v>10</v>
      </c>
      <c r="G20" s="23"/>
      <c r="I20" s="22">
        <f>F20</f>
        <v>10</v>
      </c>
      <c r="J20" s="23"/>
      <c r="K20" s="9"/>
    </row>
    <row r="21" spans="3:11">
      <c r="C21" s="45" t="s">
        <v>75</v>
      </c>
      <c r="D21" s="20">
        <f>D3/D17</f>
        <v>266.92855009463722</v>
      </c>
      <c r="E21" s="23"/>
      <c r="F21" s="20">
        <f>F3/F17</f>
        <v>271.49948103032955</v>
      </c>
      <c r="G21" s="23"/>
      <c r="I21" s="20">
        <f>F3/F17</f>
        <v>271.49948103032955</v>
      </c>
      <c r="J21" s="23"/>
      <c r="K21" s="9"/>
    </row>
    <row r="22" spans="3:11" ht="29.1">
      <c r="C22" s="45" t="s">
        <v>76</v>
      </c>
      <c r="D22" s="21">
        <f>'Ohio Figures'!J48</f>
        <v>21161.235569715147</v>
      </c>
      <c r="E22" s="23"/>
      <c r="F22" s="21">
        <f>ROUND(D22*(1+D27)^5,0)</f>
        <v>27008</v>
      </c>
      <c r="G22" s="23"/>
      <c r="I22" s="21">
        <f>F22</f>
        <v>27008</v>
      </c>
      <c r="J22" s="23"/>
      <c r="K22" s="9"/>
    </row>
    <row r="23" spans="3:11" ht="29.1">
      <c r="C23" s="45" t="s">
        <v>77</v>
      </c>
      <c r="D23" s="21">
        <f>'Ohio Figures'!E38</f>
        <v>51042.538567245021</v>
      </c>
      <c r="E23" s="23"/>
      <c r="F23" s="21"/>
      <c r="G23" s="23"/>
      <c r="I23" s="21"/>
      <c r="J23" s="23"/>
      <c r="K23" s="9"/>
    </row>
    <row r="24" spans="3:11">
      <c r="C24" s="45" t="s">
        <v>78</v>
      </c>
      <c r="D24" s="54">
        <f>'Facility Index Tool'!G9</f>
        <v>21161.235569715147</v>
      </c>
      <c r="E24" s="23"/>
      <c r="F24" s="21">
        <f>ROUND(D24*(1+D27)^5,0)</f>
        <v>27008</v>
      </c>
      <c r="G24" s="23"/>
      <c r="I24" s="21">
        <f>F24</f>
        <v>27008</v>
      </c>
      <c r="J24" s="23"/>
      <c r="K24" s="9"/>
    </row>
    <row r="25" spans="3:11">
      <c r="C25" s="45" t="s">
        <v>79</v>
      </c>
      <c r="D25" s="21">
        <f>D24*D21</f>
        <v>5648537.9288351284</v>
      </c>
      <c r="E25" s="29"/>
      <c r="F25" s="21">
        <f>F21*F24</f>
        <v>7332657.9836671408</v>
      </c>
      <c r="G25" s="23"/>
      <c r="I25" s="21">
        <f>I21*I24</f>
        <v>7332657.9836671408</v>
      </c>
      <c r="J25" s="23"/>
      <c r="K25" s="9"/>
    </row>
    <row r="26" spans="3:11">
      <c r="C26" s="45" t="s">
        <v>80</v>
      </c>
      <c r="D26" s="21">
        <f>D24*400</f>
        <v>8464494.2278860584</v>
      </c>
      <c r="E26" s="29"/>
      <c r="F26" s="21">
        <f>F24*400</f>
        <v>10803200</v>
      </c>
      <c r="G26" s="23"/>
      <c r="I26" s="21">
        <f>I24*400</f>
        <v>10803200</v>
      </c>
      <c r="J26" s="23"/>
      <c r="K26" s="9"/>
    </row>
    <row r="27" spans="3:11" ht="29.1">
      <c r="C27" s="45" t="s">
        <v>81</v>
      </c>
      <c r="D27" s="12">
        <f>D15</f>
        <v>0.05</v>
      </c>
      <c r="E27" s="23"/>
      <c r="F27" s="21"/>
      <c r="G27" s="23"/>
      <c r="I27" s="21"/>
      <c r="J27" s="23"/>
      <c r="K27" s="9"/>
    </row>
    <row r="28" spans="3:11">
      <c r="C28" s="48" t="s">
        <v>82</v>
      </c>
      <c r="D28" s="21">
        <f>D17*D25</f>
        <v>1790586523.4407358</v>
      </c>
      <c r="E28" s="23"/>
      <c r="F28" s="21">
        <f>F17*F25</f>
        <v>2500436372.4304948</v>
      </c>
      <c r="G28" s="23"/>
      <c r="I28" s="21">
        <f>I17*I25</f>
        <v>2500436372.4304948</v>
      </c>
      <c r="J28" s="23"/>
      <c r="K28" s="9"/>
    </row>
    <row r="29" spans="3:11">
      <c r="C29" s="48" t="s">
        <v>83</v>
      </c>
      <c r="D29" s="21">
        <f>D28/30</f>
        <v>59686217.448024526</v>
      </c>
      <c r="E29" s="23"/>
      <c r="F29" s="21">
        <f>F28/30</f>
        <v>83347879.081016496</v>
      </c>
      <c r="G29" s="23"/>
      <c r="I29" s="21">
        <f>I28/30</f>
        <v>83347879.081016496</v>
      </c>
      <c r="J29" s="23"/>
      <c r="K29" s="9"/>
    </row>
    <row r="30" spans="3:11">
      <c r="C30" s="48"/>
      <c r="D30" s="21"/>
      <c r="E30" s="23"/>
      <c r="F30" s="21"/>
      <c r="G30" s="23"/>
      <c r="I30" s="21"/>
      <c r="J30" s="23"/>
      <c r="K30" s="9"/>
    </row>
    <row r="31" spans="3:11">
      <c r="C31" s="46" t="s">
        <v>84</v>
      </c>
      <c r="D31" s="25"/>
      <c r="E31" s="23"/>
      <c r="F31" s="25"/>
      <c r="G31" s="23"/>
      <c r="I31" s="25"/>
      <c r="J31" s="23"/>
      <c r="K31" s="23"/>
    </row>
    <row r="32" spans="3:11">
      <c r="C32" s="10" t="s">
        <v>85</v>
      </c>
      <c r="D32" s="11"/>
      <c r="E32" s="23"/>
      <c r="F32" s="11"/>
      <c r="G32" s="23"/>
      <c r="I32" s="11"/>
      <c r="J32" s="23"/>
      <c r="K32" s="9"/>
    </row>
    <row r="33" spans="3:11">
      <c r="C33" s="48" t="s">
        <v>86</v>
      </c>
      <c r="D33" s="11"/>
      <c r="E33" s="23"/>
      <c r="F33" s="11"/>
      <c r="G33" s="23"/>
      <c r="I33" s="11"/>
      <c r="J33" s="23"/>
      <c r="K33" s="9"/>
    </row>
    <row r="34" spans="3:11" ht="29.1">
      <c r="C34" s="45" t="s">
        <v>87</v>
      </c>
      <c r="D34" s="20">
        <f>D3</f>
        <v>84616.350380000003</v>
      </c>
      <c r="E34" s="23"/>
      <c r="F34" s="20">
        <f>F3</f>
        <v>92581.323031342385</v>
      </c>
      <c r="G34" s="23"/>
      <c r="I34" s="20">
        <f>I3</f>
        <v>92581.323031342385</v>
      </c>
      <c r="J34" s="23"/>
      <c r="K34" s="9"/>
    </row>
    <row r="35" spans="3:11">
      <c r="C35" s="45" t="s">
        <v>88</v>
      </c>
      <c r="D35" s="21">
        <v>975</v>
      </c>
      <c r="E35" s="23"/>
      <c r="F35" s="21">
        <v>1000</v>
      </c>
      <c r="G35" s="23"/>
      <c r="I35" s="43">
        <f>'Facility Index Tool'!G25</f>
        <v>1000</v>
      </c>
      <c r="J35" s="23"/>
      <c r="K35" s="23"/>
    </row>
    <row r="36" spans="3:11">
      <c r="C36" s="45" t="s">
        <v>89</v>
      </c>
      <c r="D36" s="21">
        <f>D34*D35</f>
        <v>82500941.620499998</v>
      </c>
      <c r="E36" s="23"/>
      <c r="F36" s="21">
        <f>F34*F35</f>
        <v>92581323.031342387</v>
      </c>
      <c r="G36" s="23"/>
      <c r="I36" s="21">
        <f>I34*I35</f>
        <v>92581323.031342387</v>
      </c>
      <c r="J36" s="23"/>
      <c r="K36" s="9"/>
    </row>
    <row r="37" spans="3:11">
      <c r="C37" s="45" t="s">
        <v>90</v>
      </c>
      <c r="D37" s="21"/>
      <c r="E37" s="26">
        <f>D36/D16</f>
        <v>0.48196863862371608</v>
      </c>
      <c r="F37" s="21"/>
      <c r="G37" s="26">
        <f>F36/F16</f>
        <v>0.38731798951678192</v>
      </c>
      <c r="I37" s="21"/>
      <c r="J37" s="26">
        <f>I36/I16</f>
        <v>0.38731798951678192</v>
      </c>
      <c r="K37" s="31">
        <f>J37-G37</f>
        <v>0</v>
      </c>
    </row>
    <row r="38" spans="3:11">
      <c r="C38" s="45" t="s">
        <v>91</v>
      </c>
      <c r="D38" s="11"/>
      <c r="E38" s="23"/>
      <c r="F38" s="11"/>
      <c r="G38" s="23"/>
      <c r="I38" s="11"/>
      <c r="J38" s="23"/>
      <c r="K38" s="9"/>
    </row>
    <row r="39" spans="3:11" ht="29.1">
      <c r="C39" s="45" t="s">
        <v>92</v>
      </c>
      <c r="D39" s="21">
        <v>21000000</v>
      </c>
      <c r="E39" s="23"/>
      <c r="F39" s="21">
        <f>D39</f>
        <v>21000000</v>
      </c>
      <c r="G39" s="23"/>
      <c r="I39" s="21">
        <f>F39</f>
        <v>21000000</v>
      </c>
      <c r="J39" s="23"/>
      <c r="K39" s="9"/>
    </row>
    <row r="40" spans="3:11">
      <c r="C40" s="45" t="s">
        <v>90</v>
      </c>
      <c r="D40" s="21"/>
      <c r="E40" s="26">
        <f>D39/D28</f>
        <v>1.1728000699819325E-2</v>
      </c>
      <c r="F40" s="21"/>
      <c r="G40" s="26">
        <f>F39/F28</f>
        <v>8.3985340445145613E-3</v>
      </c>
      <c r="I40" s="21"/>
      <c r="J40" s="26">
        <f>I39/I28</f>
        <v>8.3985340445145613E-3</v>
      </c>
      <c r="K40" s="31">
        <f>J40-G40</f>
        <v>0</v>
      </c>
    </row>
    <row r="41" spans="3:11">
      <c r="C41" s="45" t="s">
        <v>93</v>
      </c>
      <c r="D41" s="21">
        <f>E40*D16</f>
        <v>2007539.5441162346</v>
      </c>
      <c r="E41" s="26"/>
      <c r="F41" s="21"/>
      <c r="G41" s="26"/>
      <c r="I41" s="21"/>
      <c r="J41" s="26"/>
      <c r="K41" s="31"/>
    </row>
    <row r="42" spans="3:11">
      <c r="C42" s="45" t="s">
        <v>94</v>
      </c>
      <c r="D42" s="21">
        <v>300000000</v>
      </c>
      <c r="E42" s="23"/>
      <c r="F42" s="21">
        <f>D42</f>
        <v>300000000</v>
      </c>
      <c r="G42" s="23"/>
      <c r="I42" s="21">
        <f>F42</f>
        <v>300000000</v>
      </c>
      <c r="J42" s="23"/>
      <c r="K42" s="9"/>
    </row>
    <row r="43" spans="3:11" ht="29.1">
      <c r="C43" s="50" t="s">
        <v>95</v>
      </c>
      <c r="D43" s="12">
        <f>D58</f>
        <v>5.4831248696633104E-2</v>
      </c>
      <c r="E43" s="23"/>
      <c r="F43" s="12">
        <f>F58</f>
        <v>6.1600501559222851E-2</v>
      </c>
      <c r="G43" s="23"/>
      <c r="I43" s="140">
        <f>F43</f>
        <v>6.1600501559222851E-2</v>
      </c>
      <c r="J43" s="23"/>
      <c r="K43" s="9"/>
    </row>
    <row r="44" spans="3:11" ht="29.1">
      <c r="C44" s="50" t="s">
        <v>96</v>
      </c>
      <c r="D44" s="12">
        <v>0</v>
      </c>
      <c r="E44" s="23"/>
      <c r="F44" s="12">
        <v>0</v>
      </c>
      <c r="G44" s="23"/>
      <c r="I44" s="42">
        <f>'Facility Index Tool'!G26</f>
        <v>0</v>
      </c>
      <c r="J44" s="23"/>
      <c r="K44" s="9"/>
    </row>
    <row r="45" spans="3:11" ht="29.1">
      <c r="C45" s="50" t="s">
        <v>97</v>
      </c>
      <c r="D45" s="21">
        <f>D44*D42</f>
        <v>0</v>
      </c>
      <c r="E45" s="23"/>
      <c r="F45" s="21">
        <f>F44*F42</f>
        <v>0</v>
      </c>
      <c r="G45" s="23"/>
      <c r="I45" s="21">
        <f>I44*I42</f>
        <v>0</v>
      </c>
      <c r="J45" s="23"/>
      <c r="K45" s="9"/>
    </row>
    <row r="46" spans="3:11">
      <c r="C46" s="50" t="s">
        <v>98</v>
      </c>
      <c r="D46" s="21">
        <f>E123</f>
        <v>1689.434739072715</v>
      </c>
      <c r="E46" s="23"/>
      <c r="F46" s="21">
        <f>K123</f>
        <v>2156.218774775924</v>
      </c>
      <c r="G46" s="23"/>
      <c r="I46" s="21">
        <f>K123</f>
        <v>2156.218774775924</v>
      </c>
      <c r="J46" s="23"/>
      <c r="K46" s="9"/>
    </row>
    <row r="47" spans="3:11">
      <c r="C47" s="50" t="s">
        <v>99</v>
      </c>
      <c r="D47" s="20">
        <f>D45/D46</f>
        <v>0</v>
      </c>
      <c r="E47" s="23"/>
      <c r="F47" s="20">
        <f>F45/F46</f>
        <v>0</v>
      </c>
      <c r="G47" s="23"/>
      <c r="I47" s="20">
        <f>I45/I46</f>
        <v>0</v>
      </c>
      <c r="J47" s="23"/>
      <c r="K47" s="9"/>
    </row>
    <row r="48" spans="3:11">
      <c r="C48" s="20" t="s">
        <v>100</v>
      </c>
      <c r="D48" s="21">
        <f>D14*D9/D11</f>
        <v>1261.0453240659167</v>
      </c>
      <c r="E48" s="23"/>
      <c r="F48" s="21">
        <f>F14*D9/D11</f>
        <v>1609.4488965821672</v>
      </c>
      <c r="G48" s="23"/>
      <c r="I48" s="21">
        <f>I14*D9/D11</f>
        <v>1609.4488965821672</v>
      </c>
      <c r="J48" s="23"/>
      <c r="K48" s="9"/>
    </row>
    <row r="49" spans="3:11">
      <c r="C49" s="20" t="s">
        <v>101</v>
      </c>
      <c r="D49" s="21">
        <f>D48*D47</f>
        <v>0</v>
      </c>
      <c r="E49" s="23"/>
      <c r="F49" s="21">
        <f>F48*F47</f>
        <v>0</v>
      </c>
      <c r="G49" s="23"/>
      <c r="I49" s="21">
        <f>I48*I47</f>
        <v>0</v>
      </c>
      <c r="J49" s="23"/>
      <c r="K49" s="9"/>
    </row>
    <row r="50" spans="3:11">
      <c r="C50" s="20" t="s">
        <v>90</v>
      </c>
      <c r="D50" s="21"/>
      <c r="E50" s="26">
        <f>D49/D16</f>
        <v>0</v>
      </c>
      <c r="F50" s="21"/>
      <c r="G50" s="26">
        <f>F49/F16</f>
        <v>0</v>
      </c>
      <c r="I50" s="21"/>
      <c r="J50" s="26">
        <f>I49/I16</f>
        <v>0</v>
      </c>
      <c r="K50" s="31">
        <f>J50-G50</f>
        <v>0</v>
      </c>
    </row>
    <row r="51" spans="3:11">
      <c r="C51" s="45" t="s">
        <v>102</v>
      </c>
      <c r="D51" s="21">
        <f>D45+D39</f>
        <v>21000000</v>
      </c>
      <c r="E51" s="23"/>
      <c r="F51" s="21">
        <f>F45+F39</f>
        <v>21000000</v>
      </c>
      <c r="G51" s="23"/>
      <c r="I51" s="21">
        <f>I45+I39</f>
        <v>21000000</v>
      </c>
      <c r="J51" s="23"/>
      <c r="K51" s="9"/>
    </row>
    <row r="52" spans="3:11">
      <c r="C52" s="45" t="s">
        <v>90</v>
      </c>
      <c r="D52" s="21"/>
      <c r="E52" s="26">
        <f>E40+E50</f>
        <v>1.1728000699819325E-2</v>
      </c>
      <c r="F52" s="21"/>
      <c r="G52" s="26">
        <f>G40+G50</f>
        <v>8.3985340445145613E-3</v>
      </c>
      <c r="I52" s="21"/>
      <c r="J52" s="26">
        <f>J40+J50</f>
        <v>8.3985340445145613E-3</v>
      </c>
      <c r="K52" s="31">
        <f>J52-G52</f>
        <v>0</v>
      </c>
    </row>
    <row r="53" spans="3:11">
      <c r="C53" s="49" t="s">
        <v>103</v>
      </c>
      <c r="D53" s="11"/>
      <c r="E53" s="23"/>
      <c r="F53" s="11"/>
      <c r="G53" s="23"/>
      <c r="I53" s="11"/>
      <c r="J53" s="23"/>
      <c r="K53" s="9"/>
    </row>
    <row r="54" spans="3:11" ht="29.1">
      <c r="C54" s="50" t="s">
        <v>104</v>
      </c>
      <c r="D54" s="21">
        <f>'Ohio Figures'!J30</f>
        <v>1677648390.8245907</v>
      </c>
      <c r="E54" s="23"/>
      <c r="F54" s="21">
        <f>D54*(1+'Ohio Figures'!K31)^5</f>
        <v>1888658117.1701126</v>
      </c>
      <c r="G54" s="23"/>
      <c r="I54" s="21">
        <f>F54</f>
        <v>1888658117.1701126</v>
      </c>
      <c r="J54" s="23"/>
      <c r="K54" s="9"/>
    </row>
    <row r="55" spans="3:11">
      <c r="C55" s="50" t="s">
        <v>105</v>
      </c>
      <c r="D55" s="20">
        <f>'Ohio Figures'!J16</f>
        <v>1458597.6451312101</v>
      </c>
      <c r="E55" s="32"/>
      <c r="F55" s="20">
        <f>D55*(1+D56)^5</f>
        <v>1410349.9955121358</v>
      </c>
      <c r="G55" s="23"/>
      <c r="I55" s="20">
        <f>D55*(1+D56)^5</f>
        <v>1410349.9955121358</v>
      </c>
      <c r="J55" s="23"/>
      <c r="K55" s="9"/>
    </row>
    <row r="56" spans="3:11">
      <c r="C56" s="50" t="s">
        <v>106</v>
      </c>
      <c r="D56" s="12">
        <f>'Ohio Figures'!K17</f>
        <v>-6.7049329013933985E-3</v>
      </c>
      <c r="E56" s="32"/>
      <c r="F56" s="20"/>
      <c r="G56" s="23"/>
      <c r="I56" s="20"/>
      <c r="J56" s="23"/>
      <c r="K56" s="9"/>
    </row>
    <row r="57" spans="3:11">
      <c r="C57" s="50" t="s">
        <v>107</v>
      </c>
      <c r="D57" s="20">
        <f>D3</f>
        <v>84616.350380000003</v>
      </c>
      <c r="E57" s="32"/>
      <c r="F57" s="20">
        <f>F3</f>
        <v>92581.323031342385</v>
      </c>
      <c r="G57" s="23"/>
      <c r="I57" s="20">
        <f>I3</f>
        <v>92581.323031342385</v>
      </c>
      <c r="J57" s="23"/>
      <c r="K57" s="9"/>
    </row>
    <row r="58" spans="3:11" ht="29.1">
      <c r="C58" s="50" t="s">
        <v>95</v>
      </c>
      <c r="D58" s="12">
        <f>D57/(D55+D57)</f>
        <v>5.4831248696633104E-2</v>
      </c>
      <c r="E58" s="23"/>
      <c r="F58" s="12">
        <f>F57/(F55+F57)</f>
        <v>6.1600501559222851E-2</v>
      </c>
      <c r="G58" s="23"/>
      <c r="I58" s="12">
        <f>I57/(I55+I57)</f>
        <v>6.1600501559222851E-2</v>
      </c>
      <c r="J58" s="23"/>
      <c r="K58" s="9"/>
    </row>
    <row r="59" spans="3:11" ht="29.1">
      <c r="C59" s="50" t="s">
        <v>108</v>
      </c>
      <c r="D59" s="12">
        <v>0</v>
      </c>
      <c r="E59" s="23"/>
      <c r="F59" s="12">
        <v>0</v>
      </c>
      <c r="G59" s="23"/>
      <c r="I59" s="42">
        <f>'Facility Index Tool'!G27</f>
        <v>0</v>
      </c>
      <c r="J59" s="23"/>
      <c r="K59" s="9"/>
    </row>
    <row r="60" spans="3:11" ht="29.1">
      <c r="C60" s="50" t="s">
        <v>109</v>
      </c>
      <c r="D60" s="21">
        <v>0</v>
      </c>
      <c r="E60" s="23"/>
      <c r="F60" s="21">
        <f>F54*F59</f>
        <v>0</v>
      </c>
      <c r="G60" s="23"/>
      <c r="I60" s="21">
        <f>I54*I59</f>
        <v>0</v>
      </c>
      <c r="J60" s="23"/>
      <c r="K60" s="9"/>
    </row>
    <row r="61" spans="3:11">
      <c r="C61" s="50" t="s">
        <v>98</v>
      </c>
      <c r="D61" s="21">
        <f>E123</f>
        <v>1689.434739072715</v>
      </c>
      <c r="E61" s="23"/>
      <c r="F61" s="21">
        <f>K123</f>
        <v>2156.218774775924</v>
      </c>
      <c r="G61" s="23"/>
      <c r="I61" s="21">
        <f>K123</f>
        <v>2156.218774775924</v>
      </c>
      <c r="J61" s="23"/>
      <c r="K61" s="9"/>
    </row>
    <row r="62" spans="3:11">
      <c r="C62" s="50" t="s">
        <v>99</v>
      </c>
      <c r="D62" s="20">
        <f>D60/D61</f>
        <v>0</v>
      </c>
      <c r="E62" s="23"/>
      <c r="F62" s="20">
        <f>F60/F61</f>
        <v>0</v>
      </c>
      <c r="G62" s="23"/>
      <c r="I62" s="20">
        <f>I60/I61</f>
        <v>0</v>
      </c>
      <c r="J62" s="23"/>
      <c r="K62" s="9"/>
    </row>
    <row r="63" spans="3:11">
      <c r="C63" s="20" t="s">
        <v>100</v>
      </c>
      <c r="D63" s="21">
        <f>D14*D9/D11</f>
        <v>1261.0453240659167</v>
      </c>
      <c r="E63" s="23"/>
      <c r="F63" s="21">
        <f>F14*D9/D11</f>
        <v>1609.4488965821672</v>
      </c>
      <c r="G63" s="23"/>
      <c r="I63" s="21">
        <f>I14*D9/D11</f>
        <v>1609.4488965821672</v>
      </c>
      <c r="J63" s="23"/>
      <c r="K63" s="9"/>
    </row>
    <row r="64" spans="3:11">
      <c r="C64" s="20" t="s">
        <v>101</v>
      </c>
      <c r="D64" s="21">
        <f>D63*D62</f>
        <v>0</v>
      </c>
      <c r="E64" s="23"/>
      <c r="F64" s="21">
        <f>F63*F62</f>
        <v>0</v>
      </c>
      <c r="G64" s="23"/>
      <c r="I64" s="21">
        <f>I63*I62</f>
        <v>0</v>
      </c>
      <c r="J64" s="23"/>
      <c r="K64" s="9"/>
    </row>
    <row r="65" spans="3:11">
      <c r="C65" s="50" t="s">
        <v>90</v>
      </c>
      <c r="D65" s="11"/>
      <c r="E65" s="26">
        <f>D64/D16</f>
        <v>0</v>
      </c>
      <c r="F65" s="11"/>
      <c r="G65" s="26">
        <f>F64/F16</f>
        <v>0</v>
      </c>
      <c r="I65" s="11"/>
      <c r="J65" s="26">
        <f>I64/I16</f>
        <v>0</v>
      </c>
      <c r="K65" s="31">
        <f>J65-G65</f>
        <v>0</v>
      </c>
    </row>
    <row r="66" spans="3:11">
      <c r="C66" s="49" t="s">
        <v>110</v>
      </c>
      <c r="D66" s="21">
        <f>D36+D41+D64</f>
        <v>84508481.164616227</v>
      </c>
      <c r="E66" s="26"/>
      <c r="F66" s="11"/>
      <c r="G66" s="26"/>
      <c r="I66" s="11"/>
      <c r="J66" s="26"/>
      <c r="K66" s="31"/>
    </row>
    <row r="67" spans="3:11">
      <c r="C67" s="49" t="s">
        <v>111</v>
      </c>
      <c r="D67" s="11"/>
      <c r="E67" s="27">
        <f>E37+E52+E65</f>
        <v>0.49369663932353541</v>
      </c>
      <c r="F67" s="11"/>
      <c r="G67" s="27">
        <f>G37+G52+G65</f>
        <v>0.3957165235612965</v>
      </c>
      <c r="I67" s="11"/>
      <c r="J67" s="27">
        <f>J37+J52+J65</f>
        <v>0.3957165235612965</v>
      </c>
      <c r="K67" s="58">
        <f>J67-G67</f>
        <v>0</v>
      </c>
    </row>
    <row r="68" spans="3:11">
      <c r="C68" s="49"/>
      <c r="D68" s="11"/>
      <c r="E68" s="27"/>
      <c r="F68" s="11"/>
      <c r="G68" s="27"/>
      <c r="I68" s="11"/>
      <c r="J68" s="27"/>
      <c r="K68" s="9"/>
    </row>
    <row r="69" spans="3:11">
      <c r="C69" s="10" t="s">
        <v>112</v>
      </c>
      <c r="D69" s="11"/>
      <c r="E69" s="23"/>
      <c r="F69" s="11"/>
      <c r="G69" s="23"/>
      <c r="I69" s="11"/>
      <c r="J69" s="23"/>
      <c r="K69" s="9"/>
    </row>
    <row r="70" spans="3:11" ht="29.1">
      <c r="C70" s="52" t="s">
        <v>113</v>
      </c>
      <c r="D70" s="11"/>
      <c r="E70" s="23"/>
      <c r="F70" s="11"/>
      <c r="G70" s="23"/>
      <c r="I70" s="11"/>
      <c r="J70" s="23"/>
      <c r="K70" s="9"/>
    </row>
    <row r="71" spans="3:11" ht="29.1">
      <c r="C71" s="51" t="s">
        <v>114</v>
      </c>
      <c r="D71" s="22">
        <v>0</v>
      </c>
      <c r="E71" s="23"/>
      <c r="F71" s="22">
        <f>D71-F72+F73*5</f>
        <v>0</v>
      </c>
      <c r="G71" s="23"/>
      <c r="I71" s="22">
        <f>ROUNDDOWN(I74*I17,1)</f>
        <v>0</v>
      </c>
      <c r="J71" s="23"/>
      <c r="K71" s="9"/>
    </row>
    <row r="72" spans="3:11" ht="29.1">
      <c r="C72" s="51" t="s">
        <v>115</v>
      </c>
      <c r="D72" s="22"/>
      <c r="E72" s="23"/>
      <c r="F72" s="22">
        <f>ROUNDDOWN(D71*0.1,0)</f>
        <v>0</v>
      </c>
      <c r="G72" s="23"/>
      <c r="I72" s="22"/>
      <c r="J72" s="23"/>
      <c r="K72" s="9"/>
    </row>
    <row r="73" spans="3:11" ht="29.1">
      <c r="C73" s="51" t="s">
        <v>116</v>
      </c>
      <c r="D73" s="22"/>
      <c r="E73" s="23"/>
      <c r="F73" s="22">
        <f>ROUNDDOWN(D71*0.1,0)</f>
        <v>0</v>
      </c>
      <c r="G73" s="23"/>
      <c r="I73" s="22"/>
      <c r="J73" s="23"/>
      <c r="K73" s="9"/>
    </row>
    <row r="74" spans="3:11">
      <c r="C74" s="51" t="s">
        <v>117</v>
      </c>
      <c r="D74" s="12">
        <f>D71/D17</f>
        <v>0</v>
      </c>
      <c r="E74" s="23"/>
      <c r="F74" s="12">
        <f>F71/F17</f>
        <v>0</v>
      </c>
      <c r="G74" s="23"/>
      <c r="I74" s="42">
        <f>'Facility Index Tool'!G28</f>
        <v>0</v>
      </c>
      <c r="J74" s="23"/>
      <c r="K74" s="9"/>
    </row>
    <row r="75" spans="3:11">
      <c r="C75" s="51" t="s">
        <v>118</v>
      </c>
      <c r="D75" s="21">
        <v>0</v>
      </c>
      <c r="E75" s="23"/>
      <c r="F75" s="21">
        <f>D75</f>
        <v>0</v>
      </c>
      <c r="G75" s="23"/>
      <c r="I75" s="21">
        <f>F75</f>
        <v>0</v>
      </c>
      <c r="J75" s="23"/>
      <c r="K75" s="9"/>
    </row>
    <row r="76" spans="3:11">
      <c r="C76" s="51" t="s">
        <v>119</v>
      </c>
      <c r="D76" s="21">
        <f>D14*D10/(D9+D10)*D3*D74</f>
        <v>0</v>
      </c>
      <c r="E76" s="23"/>
      <c r="F76" s="21">
        <f>F14*D10/(D9+D10)*F3*F74</f>
        <v>0</v>
      </c>
      <c r="G76" s="23"/>
      <c r="I76" s="21">
        <f>I14*D10/(D9+D10)*I3*I74</f>
        <v>0</v>
      </c>
      <c r="J76" s="23"/>
      <c r="K76" s="9"/>
    </row>
    <row r="77" spans="3:11">
      <c r="C77" s="51" t="s">
        <v>120</v>
      </c>
      <c r="D77" s="21">
        <f>D71*D14*D21-D76-D75*D71</f>
        <v>0</v>
      </c>
      <c r="E77" s="23"/>
      <c r="F77" s="21">
        <f>F71*F14*F21-F76-F75*F71</f>
        <v>0</v>
      </c>
      <c r="G77" s="23"/>
      <c r="I77" s="21">
        <f>I71*I14*I21-I76-I75*I71</f>
        <v>0</v>
      </c>
      <c r="J77" s="23"/>
      <c r="K77" s="9"/>
    </row>
    <row r="78" spans="3:11">
      <c r="C78" s="51" t="s">
        <v>90</v>
      </c>
      <c r="D78" s="11"/>
      <c r="E78" s="26">
        <f>D77/D16</f>
        <v>0</v>
      </c>
      <c r="F78" s="11"/>
      <c r="G78" s="26">
        <f>F77/F16</f>
        <v>0</v>
      </c>
      <c r="I78" s="11"/>
      <c r="J78" s="26">
        <f>I77/I16</f>
        <v>0</v>
      </c>
      <c r="K78" s="31">
        <f>J78-G78</f>
        <v>0</v>
      </c>
    </row>
    <row r="79" spans="3:11" ht="29.1">
      <c r="C79" s="52" t="s">
        <v>121</v>
      </c>
      <c r="D79" s="11"/>
      <c r="E79" s="23"/>
      <c r="F79" s="11"/>
      <c r="G79" s="23"/>
      <c r="I79" s="11"/>
      <c r="J79" s="23"/>
      <c r="K79" s="9"/>
    </row>
    <row r="80" spans="3:11" ht="29.1">
      <c r="C80" s="51" t="s">
        <v>122</v>
      </c>
      <c r="D80" s="22">
        <f>ROUNDDOWN(D81*D17,0)</f>
        <v>31</v>
      </c>
      <c r="E80" s="23"/>
      <c r="F80" s="22">
        <f>ROUNDDOWN(F81*F17,0)</f>
        <v>34</v>
      </c>
      <c r="G80" s="23"/>
      <c r="I80" s="22">
        <f>ROUNDDOWN(I81*I17,0)</f>
        <v>34</v>
      </c>
      <c r="J80" s="23"/>
      <c r="K80" s="9"/>
    </row>
    <row r="81" spans="3:11" ht="29.1">
      <c r="C81" s="51" t="s">
        <v>123</v>
      </c>
      <c r="D81" s="12">
        <v>0.1</v>
      </c>
      <c r="E81" s="23"/>
      <c r="F81" s="12">
        <f>D81</f>
        <v>0.1</v>
      </c>
      <c r="G81" s="23"/>
      <c r="I81" s="42">
        <f>'Facility Index Tool'!G29</f>
        <v>0.1</v>
      </c>
      <c r="J81" s="23"/>
      <c r="K81" s="9"/>
    </row>
    <row r="82" spans="3:11">
      <c r="C82" s="51" t="s">
        <v>124</v>
      </c>
      <c r="D82" s="21">
        <f>D94</f>
        <v>539.68816923825625</v>
      </c>
      <c r="E82" s="23"/>
      <c r="F82" s="21">
        <f>F94</f>
        <v>655.99434276015813</v>
      </c>
      <c r="G82" s="23"/>
      <c r="I82" s="21">
        <f>I94</f>
        <v>655.99434276015813</v>
      </c>
      <c r="J82" s="23"/>
      <c r="K82" s="9"/>
    </row>
    <row r="83" spans="3:11">
      <c r="C83" s="51" t="s">
        <v>125</v>
      </c>
      <c r="D83" s="21">
        <f>D82*D80*D21</f>
        <v>4465803.5960579049</v>
      </c>
      <c r="E83" s="23"/>
      <c r="F83" s="21">
        <f>F82*F80*F21</f>
        <v>6055472.2030193117</v>
      </c>
      <c r="G83" s="23"/>
      <c r="I83" s="21">
        <f>I82*I80*I21</f>
        <v>6055472.2030193117</v>
      </c>
      <c r="J83" s="23"/>
      <c r="K83" s="9"/>
    </row>
    <row r="84" spans="3:11">
      <c r="C84" s="51" t="s">
        <v>90</v>
      </c>
      <c r="D84" s="11"/>
      <c r="E84" s="26">
        <f>D83/D16</f>
        <v>2.6089123799989421E-2</v>
      </c>
      <c r="F84" s="11"/>
      <c r="G84" s="26">
        <f>F83/F16</f>
        <v>2.5333331199578892E-2</v>
      </c>
      <c r="I84" s="11"/>
      <c r="J84" s="26">
        <f>I83/I16</f>
        <v>2.5333331199578892E-2</v>
      </c>
      <c r="K84" s="31">
        <f>J84-G84</f>
        <v>0</v>
      </c>
    </row>
    <row r="85" spans="3:11">
      <c r="C85" s="52" t="s">
        <v>126</v>
      </c>
      <c r="D85" s="11"/>
      <c r="E85" s="27">
        <f>E78+E84</f>
        <v>2.6089123799989421E-2</v>
      </c>
      <c r="F85" s="11"/>
      <c r="G85" s="27">
        <f>G78+G84</f>
        <v>2.5333331199578892E-2</v>
      </c>
      <c r="I85" s="11"/>
      <c r="J85" s="27">
        <f>J78+J84</f>
        <v>2.5333331199578892E-2</v>
      </c>
      <c r="K85" s="31">
        <f>J85-G85</f>
        <v>0</v>
      </c>
    </row>
    <row r="86" spans="3:11">
      <c r="C86" s="52"/>
      <c r="D86" s="11"/>
      <c r="E86" s="27"/>
      <c r="F86" s="11"/>
      <c r="G86" s="27"/>
      <c r="I86" s="11"/>
      <c r="J86" s="27"/>
      <c r="K86" s="9"/>
    </row>
    <row r="87" spans="3:11">
      <c r="C87" s="10" t="s">
        <v>127</v>
      </c>
      <c r="D87" s="11"/>
      <c r="E87" s="23"/>
      <c r="F87" s="11"/>
      <c r="G87" s="23"/>
      <c r="I87" s="11"/>
      <c r="J87" s="23"/>
      <c r="K87" s="9"/>
    </row>
    <row r="88" spans="3:11" ht="29.1">
      <c r="C88" s="48" t="s">
        <v>128</v>
      </c>
      <c r="D88" s="11"/>
      <c r="E88" s="23"/>
      <c r="F88" s="11"/>
      <c r="G88" s="23"/>
      <c r="I88" s="11"/>
      <c r="J88" s="23"/>
      <c r="K88" s="9"/>
    </row>
    <row r="89" spans="3:11" ht="29.1">
      <c r="C89" s="45" t="s">
        <v>129</v>
      </c>
      <c r="D89" s="21">
        <v>0</v>
      </c>
      <c r="E89" s="23"/>
      <c r="F89" s="21">
        <f>D89</f>
        <v>0</v>
      </c>
      <c r="G89" s="23"/>
      <c r="I89" s="43">
        <f>'Facility Index Tool'!G30</f>
        <v>0</v>
      </c>
      <c r="J89" s="23"/>
      <c r="K89" s="9"/>
    </row>
    <row r="90" spans="3:11">
      <c r="C90" s="45" t="s">
        <v>130</v>
      </c>
      <c r="D90" s="20">
        <v>0</v>
      </c>
      <c r="E90" s="23"/>
      <c r="F90" s="20">
        <v>0</v>
      </c>
      <c r="G90" s="23"/>
      <c r="I90" s="20">
        <f>I89/I28*I17</f>
        <v>0</v>
      </c>
      <c r="J90" s="23"/>
      <c r="K90" s="9"/>
    </row>
    <row r="91" spans="3:11" ht="29.1">
      <c r="C91" s="45" t="s">
        <v>131</v>
      </c>
      <c r="D91" s="20">
        <f>D89/D28*D3</f>
        <v>0</v>
      </c>
      <c r="E91" s="23"/>
      <c r="F91" s="20">
        <v>0</v>
      </c>
      <c r="G91" s="23"/>
      <c r="I91" s="20">
        <f>I90*I21</f>
        <v>0</v>
      </c>
      <c r="J91" s="23"/>
      <c r="K91" s="9"/>
    </row>
    <row r="92" spans="3:11">
      <c r="C92" s="45" t="s">
        <v>132</v>
      </c>
      <c r="D92" s="33">
        <v>0.05</v>
      </c>
      <c r="E92" s="23"/>
      <c r="F92" s="33">
        <f>D92</f>
        <v>0.05</v>
      </c>
      <c r="G92" s="23"/>
      <c r="I92" s="33">
        <f>D92</f>
        <v>0.05</v>
      </c>
      <c r="J92" s="23"/>
      <c r="K92" s="9"/>
    </row>
    <row r="93" spans="3:11">
      <c r="C93" s="45" t="s">
        <v>133</v>
      </c>
      <c r="D93" s="21">
        <f>D123</f>
        <v>1363.177058817201</v>
      </c>
      <c r="E93" s="23"/>
      <c r="F93" s="21">
        <f>F123</f>
        <v>1739.8174073174196</v>
      </c>
      <c r="G93" s="23"/>
      <c r="I93" s="21">
        <f>I123</f>
        <v>1739.8174073174196</v>
      </c>
      <c r="J93" s="23"/>
      <c r="K93" s="9"/>
    </row>
    <row r="94" spans="3:11">
      <c r="C94" s="45" t="s">
        <v>134</v>
      </c>
      <c r="D94" s="21">
        <f>'Ohio Figures'!AW43*(1+D15)-'Ohio Figures'!AW42*(1+D15)</f>
        <v>539.68816923825625</v>
      </c>
      <c r="E94" s="23"/>
      <c r="F94" s="21">
        <f>I94</f>
        <v>655.99434276015813</v>
      </c>
      <c r="G94" s="23"/>
      <c r="I94" s="21">
        <f>'Ohio Figures'!AW43*(1+D15)^5-'Ohio Figures'!AW42*(1+D15)^5</f>
        <v>655.99434276015813</v>
      </c>
      <c r="J94" s="23"/>
      <c r="K94" s="9"/>
    </row>
    <row r="95" spans="3:11">
      <c r="C95" s="45" t="s">
        <v>135</v>
      </c>
      <c r="D95" s="21">
        <f>E123-D123</f>
        <v>326.25768025551406</v>
      </c>
      <c r="E95" s="23"/>
      <c r="F95" s="21">
        <f>I95</f>
        <v>416.40136745850441</v>
      </c>
      <c r="G95" s="23"/>
      <c r="I95" s="21">
        <f>K123-I123</f>
        <v>416.40136745850441</v>
      </c>
      <c r="J95" s="23"/>
      <c r="K95" s="9"/>
    </row>
    <row r="96" spans="3:11">
      <c r="C96" s="45" t="s">
        <v>136</v>
      </c>
      <c r="D96" s="21">
        <f>D94+D95</f>
        <v>865.94584949377031</v>
      </c>
      <c r="E96" s="23"/>
      <c r="F96" s="21">
        <f>F94+F95</f>
        <v>1072.3957102186625</v>
      </c>
      <c r="G96" s="23"/>
      <c r="I96" s="21">
        <f>I94+I95</f>
        <v>1072.3957102186625</v>
      </c>
      <c r="J96" s="23"/>
      <c r="K96" s="9"/>
    </row>
    <row r="97" spans="3:11">
      <c r="C97" s="45" t="s">
        <v>137</v>
      </c>
      <c r="D97" s="21">
        <f>D91*D96</f>
        <v>0</v>
      </c>
      <c r="E97" s="23"/>
      <c r="F97" s="21">
        <f>(F91-D91)*F96+D97</f>
        <v>0</v>
      </c>
      <c r="G97" s="23"/>
      <c r="I97" s="21">
        <f>(I91)*I96</f>
        <v>0</v>
      </c>
      <c r="J97" s="23"/>
      <c r="K97" s="9"/>
    </row>
    <row r="98" spans="3:11">
      <c r="C98" s="45" t="s">
        <v>90</v>
      </c>
      <c r="D98" s="21"/>
      <c r="E98" s="26">
        <f>D97/D16</f>
        <v>0</v>
      </c>
      <c r="F98" s="21"/>
      <c r="G98" s="26">
        <f>F97/F16</f>
        <v>0</v>
      </c>
      <c r="I98" s="21"/>
      <c r="J98" s="26">
        <f>I97/I16</f>
        <v>0</v>
      </c>
      <c r="K98" s="31">
        <f>J98-G98</f>
        <v>0</v>
      </c>
    </row>
    <row r="99" spans="3:11">
      <c r="C99" s="48" t="s">
        <v>138</v>
      </c>
      <c r="D99" s="21"/>
      <c r="E99" s="26"/>
      <c r="F99" s="21"/>
      <c r="G99" s="26"/>
      <c r="I99" s="21"/>
      <c r="J99" s="26"/>
      <c r="K99" s="31"/>
    </row>
    <row r="100" spans="3:11" ht="29.1">
      <c r="C100" s="45" t="s">
        <v>129</v>
      </c>
      <c r="D100" s="21">
        <v>0</v>
      </c>
      <c r="E100" s="26"/>
      <c r="F100" s="21">
        <f>D100</f>
        <v>0</v>
      </c>
      <c r="G100" s="26"/>
      <c r="I100" s="43">
        <f>'Facility Index Tool'!G31</f>
        <v>0</v>
      </c>
      <c r="J100" s="26"/>
      <c r="K100" s="31"/>
    </row>
    <row r="101" spans="3:11">
      <c r="C101" s="45" t="s">
        <v>139</v>
      </c>
      <c r="D101" s="21">
        <f>D25*0.2</f>
        <v>1129707.5857670258</v>
      </c>
      <c r="E101" s="26"/>
      <c r="F101" s="21">
        <f>F25*0.2</f>
        <v>1466531.5967334283</v>
      </c>
      <c r="G101" s="26"/>
      <c r="I101" s="21">
        <f>I25*0.2</f>
        <v>1466531.5967334283</v>
      </c>
      <c r="J101" s="26"/>
      <c r="K101" s="31"/>
    </row>
    <row r="102" spans="3:11">
      <c r="C102" s="45" t="s">
        <v>140</v>
      </c>
      <c r="D102" s="165">
        <f>D101</f>
        <v>1129707.5857670258</v>
      </c>
      <c r="E102" s="26"/>
      <c r="F102" s="165">
        <f>F101</f>
        <v>1466531.5967334283</v>
      </c>
      <c r="G102" s="26"/>
      <c r="I102" s="165">
        <f>I101</f>
        <v>1466531.5967334283</v>
      </c>
      <c r="J102" s="26"/>
      <c r="K102" s="31"/>
    </row>
    <row r="103" spans="3:11">
      <c r="C103" s="45" t="s">
        <v>141</v>
      </c>
      <c r="D103" s="21">
        <f>D102*0.3</f>
        <v>338912.27573010774</v>
      </c>
      <c r="E103" s="26"/>
      <c r="F103" s="21">
        <f>F102*0.3</f>
        <v>439959.47902002849</v>
      </c>
      <c r="G103" s="26"/>
      <c r="I103" s="21">
        <f>I102*0.3</f>
        <v>439959.47902002849</v>
      </c>
      <c r="J103" s="26"/>
      <c r="K103" s="31"/>
    </row>
    <row r="104" spans="3:11">
      <c r="C104" s="45" t="s">
        <v>142</v>
      </c>
      <c r="D104" s="21">
        <f>D133+D141+D149</f>
        <v>1089.0502258042809</v>
      </c>
      <c r="E104" s="26"/>
      <c r="F104" s="21">
        <f>I133+I141+I149</f>
        <v>1389.9504309009471</v>
      </c>
      <c r="G104" s="26"/>
      <c r="I104" s="21">
        <f>I133+I141+I149</f>
        <v>1389.9504309009471</v>
      </c>
      <c r="J104" s="26"/>
      <c r="K104" s="31"/>
    </row>
    <row r="105" spans="3:11">
      <c r="C105" s="45" t="s">
        <v>143</v>
      </c>
      <c r="D105" s="21">
        <f>E149</f>
        <v>1689.434739072715</v>
      </c>
      <c r="E105" s="26"/>
      <c r="F105" s="21">
        <f>K149</f>
        <v>2156.218774775924</v>
      </c>
      <c r="G105" s="26"/>
      <c r="I105" s="21">
        <f>K149</f>
        <v>2156.218774775924</v>
      </c>
      <c r="J105" s="26"/>
      <c r="K105" s="31"/>
    </row>
    <row r="106" spans="3:11">
      <c r="C106" s="45" t="s">
        <v>144</v>
      </c>
      <c r="D106" s="21">
        <f>D105-D104+D94</f>
        <v>1140.0726825066904</v>
      </c>
      <c r="E106" s="26"/>
      <c r="F106" s="21">
        <f>F105-F104+F94</f>
        <v>1422.262686635135</v>
      </c>
      <c r="G106" s="26"/>
      <c r="I106" s="21">
        <f>I105-I104+I94</f>
        <v>1422.262686635135</v>
      </c>
      <c r="J106" s="26"/>
      <c r="K106" s="31"/>
    </row>
    <row r="107" spans="3:11">
      <c r="C107" s="45" t="s">
        <v>137</v>
      </c>
      <c r="D107" s="21">
        <f>D106*D100/D101*D21</f>
        <v>0</v>
      </c>
      <c r="E107" s="26"/>
      <c r="F107" s="21">
        <f>F106*F100/F101*F21</f>
        <v>0</v>
      </c>
      <c r="G107" s="26"/>
      <c r="I107" s="21">
        <f>I106*I100/I101*I21</f>
        <v>0</v>
      </c>
      <c r="J107" s="26"/>
      <c r="K107" s="31"/>
    </row>
    <row r="108" spans="3:11">
      <c r="C108" s="45" t="s">
        <v>137</v>
      </c>
      <c r="D108" s="21">
        <f>D107</f>
        <v>0</v>
      </c>
      <c r="E108" s="26"/>
      <c r="F108" s="21">
        <f>F107</f>
        <v>0</v>
      </c>
      <c r="G108" s="26"/>
      <c r="I108" s="21">
        <f>I107</f>
        <v>0</v>
      </c>
      <c r="J108" s="26"/>
      <c r="K108" s="31"/>
    </row>
    <row r="109" spans="3:11">
      <c r="C109" s="45" t="s">
        <v>90</v>
      </c>
      <c r="D109" s="21"/>
      <c r="E109" s="26">
        <f>D108/D16</f>
        <v>0</v>
      </c>
      <c r="F109" s="21"/>
      <c r="G109" s="26">
        <f>F108/F16</f>
        <v>0</v>
      </c>
      <c r="I109" s="21"/>
      <c r="J109" s="26">
        <f>I108/I16</f>
        <v>0</v>
      </c>
      <c r="K109" s="31">
        <f>J109-G109</f>
        <v>0</v>
      </c>
    </row>
    <row r="110" spans="3:11">
      <c r="C110" s="48" t="s">
        <v>145</v>
      </c>
      <c r="D110" s="11"/>
      <c r="E110" s="27">
        <f>E98+E109</f>
        <v>0</v>
      </c>
      <c r="F110" s="11"/>
      <c r="G110" s="27">
        <f>G98+G109</f>
        <v>0</v>
      </c>
      <c r="I110" s="11"/>
      <c r="J110" s="27">
        <f>J98+J109</f>
        <v>0</v>
      </c>
      <c r="K110" s="58">
        <f>J110-G110</f>
        <v>0</v>
      </c>
    </row>
    <row r="111" spans="3:11">
      <c r="C111" s="59" t="s">
        <v>146</v>
      </c>
      <c r="D111" s="59"/>
      <c r="E111" s="106">
        <f>E110+E85+E67</f>
        <v>0.51978576312352487</v>
      </c>
      <c r="F111" s="61"/>
      <c r="G111" s="60">
        <f>G110+G85+G67</f>
        <v>0.42104985476087536</v>
      </c>
      <c r="I111" s="61"/>
      <c r="J111" s="60">
        <f>J110+J85+J67</f>
        <v>0.42104985476087536</v>
      </c>
      <c r="K111" s="62">
        <f>J111-G111</f>
        <v>0</v>
      </c>
    </row>
    <row r="112" spans="3:11">
      <c r="C112" s="46" t="s">
        <v>147</v>
      </c>
      <c r="D112" s="29">
        <f>D16*(1-E111)</f>
        <v>82200632.047368139</v>
      </c>
      <c r="E112" s="26"/>
      <c r="F112" s="29">
        <f>F16*(1-G111)</f>
        <v>138387505.52820262</v>
      </c>
      <c r="G112" s="26"/>
      <c r="H112" s="9"/>
      <c r="I112" s="29">
        <f>I16*(1-J111)</f>
        <v>138387505.52820262</v>
      </c>
      <c r="J112" s="26"/>
      <c r="K112" s="31"/>
    </row>
    <row r="113" spans="3:11">
      <c r="C113" s="46" t="s">
        <v>148</v>
      </c>
      <c r="D113" s="29">
        <f>D112/D3</f>
        <v>971.45092737061793</v>
      </c>
      <c r="E113" s="26"/>
      <c r="F113" s="29">
        <f>F112/F3</f>
        <v>1494.7669896805542</v>
      </c>
      <c r="G113" s="26"/>
      <c r="H113" s="9"/>
      <c r="I113" s="29">
        <f>I112/I3</f>
        <v>1494.7669896805542</v>
      </c>
      <c r="J113" s="26"/>
      <c r="K113" s="31"/>
    </row>
    <row r="114" spans="3:11">
      <c r="C114" s="103" t="s">
        <v>149</v>
      </c>
      <c r="D114" s="105">
        <f>D113*D21/E$162</f>
        <v>4.5844911341736463</v>
      </c>
      <c r="E114" s="104"/>
      <c r="F114" s="105">
        <f>F113*F21/E162</f>
        <v>7.1749312605554687</v>
      </c>
      <c r="G114" s="104"/>
      <c r="H114" s="3"/>
      <c r="I114" s="105">
        <f>I113*I21/E162</f>
        <v>7.1749312605554687</v>
      </c>
      <c r="J114" s="104"/>
      <c r="K114" s="55"/>
    </row>
    <row r="116" spans="3:11">
      <c r="C116" s="175" t="s">
        <v>150</v>
      </c>
    </row>
    <row r="117" spans="3:11">
      <c r="C117" s="44" t="s">
        <v>151</v>
      </c>
      <c r="D117">
        <f>D92*100</f>
        <v>5</v>
      </c>
      <c r="E117" s="145">
        <f>D117+2</f>
        <v>7</v>
      </c>
      <c r="F117">
        <f>F92*100</f>
        <v>5</v>
      </c>
      <c r="I117">
        <f>I92*100</f>
        <v>5</v>
      </c>
      <c r="K117">
        <f>I117+2</f>
        <v>7</v>
      </c>
    </row>
    <row r="118" spans="3:11">
      <c r="D118">
        <f>D117/1200</f>
        <v>4.1666666666666666E-3</v>
      </c>
      <c r="E118" s="145">
        <f>E117/1200</f>
        <v>5.8333333333333336E-3</v>
      </c>
      <c r="F118">
        <f>F117/1200</f>
        <v>4.1666666666666666E-3</v>
      </c>
      <c r="I118">
        <f>I117/1200</f>
        <v>4.1666666666666666E-3</v>
      </c>
      <c r="K118">
        <f>K117/1200</f>
        <v>5.8333333333333336E-3</v>
      </c>
    </row>
    <row r="119" spans="3:11">
      <c r="D119">
        <f>(1+D118)^360</f>
        <v>4.4677443140061559</v>
      </c>
      <c r="E119">
        <f>(1+E118)^360</f>
        <v>8.1164974753596617</v>
      </c>
      <c r="F119">
        <f>(1+F118)^360</f>
        <v>4.4677443140061559</v>
      </c>
      <c r="I119">
        <f>(1+I118)^360</f>
        <v>4.4677443140061559</v>
      </c>
      <c r="K119">
        <f>(1+K118)^360</f>
        <v>8.1164974753596617</v>
      </c>
    </row>
    <row r="120" spans="3:11">
      <c r="D120">
        <f>(D118*D119)/(D119-1)</f>
        <v>5.3682162301213815E-3</v>
      </c>
      <c r="E120">
        <f>(E118*E119)/(E119-1)</f>
        <v>6.6530249517918263E-3</v>
      </c>
      <c r="F120">
        <f>(F118*F119)/(F119-1)</f>
        <v>5.3682162301213815E-3</v>
      </c>
      <c r="I120">
        <f>(I118*I119)/(I119-1)</f>
        <v>5.3682162301213815E-3</v>
      </c>
      <c r="K120">
        <f>(K118*K119)/(K119-1)</f>
        <v>6.6530249517918263E-3</v>
      </c>
    </row>
    <row r="121" spans="3:11">
      <c r="D121" s="2">
        <f>D120*D25</f>
        <v>30322.57298602895</v>
      </c>
      <c r="E121" s="2">
        <f>E120*D25</f>
        <v>37579.86378168263</v>
      </c>
      <c r="F121" s="2">
        <f>F120*F25</f>
        <v>39363.293597851072</v>
      </c>
      <c r="G121" s="146"/>
      <c r="H121" s="2"/>
      <c r="I121" s="2">
        <f>I120*I25</f>
        <v>39363.293597851072</v>
      </c>
      <c r="J121" s="146"/>
      <c r="K121" s="2">
        <f>K120*I25</f>
        <v>48784.356528293029</v>
      </c>
    </row>
    <row r="122" spans="3:11">
      <c r="D122" s="2">
        <f>D121*12</f>
        <v>363870.87583234743</v>
      </c>
      <c r="E122" s="2">
        <f>E121*12</f>
        <v>450958.36538019159</v>
      </c>
      <c r="F122" s="2">
        <f>F121*12</f>
        <v>472359.5231742129</v>
      </c>
      <c r="I122" s="2">
        <f>I121*12</f>
        <v>472359.5231742129</v>
      </c>
      <c r="K122" s="2">
        <f>K121*12</f>
        <v>585412.27833951637</v>
      </c>
    </row>
    <row r="123" spans="3:11">
      <c r="D123" s="2">
        <f>D122/D21</f>
        <v>1363.177058817201</v>
      </c>
      <c r="E123" s="2">
        <f>E122/D21</f>
        <v>1689.434739072715</v>
      </c>
      <c r="F123" s="2">
        <f>F122/F21</f>
        <v>1739.8174073174196</v>
      </c>
      <c r="I123" s="2">
        <f>I122/I21</f>
        <v>1739.8174073174196</v>
      </c>
      <c r="K123" s="2">
        <f>K122/I21</f>
        <v>2156.218774775924</v>
      </c>
    </row>
    <row r="124" spans="3:11">
      <c r="E124" s="3"/>
      <c r="K124" s="1">
        <f>10000000/K123</f>
        <v>4637.7483198750124</v>
      </c>
    </row>
    <row r="125" spans="3:11">
      <c r="E125" s="3"/>
      <c r="K125" s="5">
        <f>K124/I3</f>
        <v>5.0093778831665152E-2</v>
      </c>
    </row>
    <row r="126" spans="3:11">
      <c r="C126" s="175" t="s">
        <v>152</v>
      </c>
      <c r="E126" s="3"/>
      <c r="K126" s="5"/>
    </row>
    <row r="127" spans="3:11">
      <c r="C127" s="44" t="s">
        <v>153</v>
      </c>
      <c r="D127">
        <v>0.3</v>
      </c>
      <c r="E127">
        <f>D127+2</f>
        <v>2.2999999999999998</v>
      </c>
      <c r="F127">
        <f>F92*100</f>
        <v>5</v>
      </c>
      <c r="I127">
        <v>0.3</v>
      </c>
      <c r="K127">
        <f>I127+2</f>
        <v>2.2999999999999998</v>
      </c>
    </row>
    <row r="128" spans="3:11">
      <c r="D128">
        <f>D127/1200</f>
        <v>2.5000000000000001E-4</v>
      </c>
      <c r="E128">
        <f>E127/1200</f>
        <v>1.9166666666666666E-3</v>
      </c>
      <c r="F128">
        <f>F127/1200</f>
        <v>4.1666666666666666E-3</v>
      </c>
      <c r="I128">
        <f>I127/1200</f>
        <v>2.5000000000000001E-4</v>
      </c>
      <c r="K128">
        <f>K127/1200</f>
        <v>1.9166666666666666E-3</v>
      </c>
    </row>
    <row r="129" spans="3:11">
      <c r="D129">
        <f>(1+D128)^360</f>
        <v>1.0941619763649653</v>
      </c>
      <c r="E129">
        <f>(1+E128)^360</f>
        <v>1.9923993056503122</v>
      </c>
      <c r="F129">
        <f>(1+F128)^360</f>
        <v>4.4677443140061559</v>
      </c>
      <c r="I129">
        <f>(1+I128)^360</f>
        <v>1.0941619763649653</v>
      </c>
      <c r="K129">
        <f>(1+K128)^360</f>
        <v>1.9923993056503122</v>
      </c>
    </row>
    <row r="130" spans="3:11">
      <c r="D130">
        <f>(D128*D129)/(D129-1)</f>
        <v>2.9049994982158975E-3</v>
      </c>
      <c r="E130">
        <f>(E128*E129)/(E129-1)</f>
        <v>3.8480129057802547E-3</v>
      </c>
      <c r="F130">
        <f>(F128*F129)/(F129-1)</f>
        <v>5.3682162301213815E-3</v>
      </c>
      <c r="I130">
        <f>(I128*I129)/(I129-1)</f>
        <v>2.9049994982158975E-3</v>
      </c>
      <c r="K130">
        <f>(K128*K129)/(K129-1)</f>
        <v>3.8480129057802547E-3</v>
      </c>
    </row>
    <row r="131" spans="3:11">
      <c r="D131" s="2">
        <f>D130*D101</f>
        <v>3281.7999697839032</v>
      </c>
      <c r="E131" s="2">
        <f>E130*D101</f>
        <v>4347.1293697893689</v>
      </c>
      <c r="F131" s="2">
        <f>F130*D101</f>
        <v>6064.5145972057908</v>
      </c>
      <c r="G131" s="146"/>
      <c r="H131" s="2"/>
      <c r="I131" s="2">
        <f>I130*I101</f>
        <v>4260.2735526283677</v>
      </c>
      <c r="J131" s="146"/>
      <c r="K131" s="2">
        <f>K130*I101</f>
        <v>5643.2325109647563</v>
      </c>
    </row>
    <row r="132" spans="3:11">
      <c r="D132" s="2">
        <f>D131*12</f>
        <v>39381.599637406835</v>
      </c>
      <c r="E132" s="2">
        <f>E131*12</f>
        <v>52165.552437472426</v>
      </c>
      <c r="F132" s="2">
        <f>F131*12</f>
        <v>72774.175166469489</v>
      </c>
      <c r="I132" s="2">
        <f>I131*12</f>
        <v>51123.282631540409</v>
      </c>
      <c r="K132" s="2">
        <f>K131*12</f>
        <v>67718.790131577072</v>
      </c>
    </row>
    <row r="133" spans="3:11">
      <c r="D133" s="2">
        <f>D132/D21</f>
        <v>147.53610890796219</v>
      </c>
      <c r="E133" s="2">
        <f>E132/D21</f>
        <v>195.42889817884816</v>
      </c>
      <c r="F133" s="2">
        <f>F132/F21</f>
        <v>268.04535644154618</v>
      </c>
      <c r="I133" s="2">
        <f>I132/I21</f>
        <v>188.2997434747559</v>
      </c>
      <c r="K133" s="2">
        <f>K132/I21</f>
        <v>249.42511814235152</v>
      </c>
    </row>
    <row r="134" spans="3:11">
      <c r="E134" s="3"/>
      <c r="K134" s="5"/>
    </row>
    <row r="135" spans="3:11">
      <c r="C135" s="44" t="s">
        <v>154</v>
      </c>
      <c r="D135">
        <v>3</v>
      </c>
      <c r="E135">
        <f>D135+2</f>
        <v>5</v>
      </c>
      <c r="F135">
        <v>3</v>
      </c>
      <c r="I135">
        <v>3</v>
      </c>
      <c r="K135">
        <f>I135+2</f>
        <v>5</v>
      </c>
    </row>
    <row r="136" spans="3:11">
      <c r="D136">
        <f>D135/1200</f>
        <v>2.5000000000000001E-3</v>
      </c>
      <c r="E136">
        <f>E135/1200</f>
        <v>4.1666666666666666E-3</v>
      </c>
      <c r="F136">
        <f>F135/1200</f>
        <v>2.5000000000000001E-3</v>
      </c>
      <c r="I136">
        <f>I135/1200</f>
        <v>2.5000000000000001E-3</v>
      </c>
      <c r="K136">
        <f>K135/1200</f>
        <v>4.1666666666666666E-3</v>
      </c>
    </row>
    <row r="137" spans="3:11">
      <c r="D137">
        <f>(1+D136)^360</f>
        <v>2.456842211495688</v>
      </c>
      <c r="E137">
        <f>(1+E136)^360</f>
        <v>4.4677443140061559</v>
      </c>
      <c r="F137">
        <f>(1+F136)^360</f>
        <v>2.456842211495688</v>
      </c>
      <c r="I137">
        <f>(1+I136)^360</f>
        <v>2.456842211495688</v>
      </c>
      <c r="K137">
        <f>(1+K136)^360</f>
        <v>4.4677443140061559</v>
      </c>
    </row>
    <row r="138" spans="3:11">
      <c r="D138">
        <f>(D136*D137)/(D137-1)</f>
        <v>4.2160403372945507E-3</v>
      </c>
      <c r="E138">
        <f>(E136*E137)/(E137-1)</f>
        <v>5.3682162301213815E-3</v>
      </c>
      <c r="F138">
        <f>(F136*F137)/(F137-1)</f>
        <v>4.2160403372945507E-3</v>
      </c>
      <c r="I138">
        <f>(I136*I137)/(I137-1)</f>
        <v>4.2160403372945507E-3</v>
      </c>
      <c r="K138">
        <f>(K136*K137)/(K137-1)</f>
        <v>5.3682162301213815E-3</v>
      </c>
    </row>
    <row r="139" spans="3:11">
      <c r="D139" s="2">
        <f>D138*D102</f>
        <v>4762.8927509414243</v>
      </c>
      <c r="E139" s="2">
        <f>E138*D102</f>
        <v>6064.5145972057908</v>
      </c>
      <c r="F139" s="2">
        <f>F138*D102</f>
        <v>4762.8927509414243</v>
      </c>
      <c r="G139" s="146"/>
      <c r="H139" s="2"/>
      <c r="I139" s="2">
        <f>I138*I102</f>
        <v>6182.9563677451188</v>
      </c>
      <c r="J139" s="146"/>
      <c r="K139" s="2">
        <f>K138*I102</f>
        <v>7872.658719570215</v>
      </c>
    </row>
    <row r="140" spans="3:11">
      <c r="D140" s="2">
        <f>D139*12</f>
        <v>57154.713011297092</v>
      </c>
      <c r="E140" s="2">
        <f>E139*12</f>
        <v>72774.175166469489</v>
      </c>
      <c r="F140" s="2">
        <f>F139*12</f>
        <v>57154.713011297092</v>
      </c>
      <c r="I140" s="2">
        <f>I139*12</f>
        <v>74195.476412941425</v>
      </c>
      <c r="K140" s="2">
        <f>K139*12</f>
        <v>94471.904634842576</v>
      </c>
    </row>
    <row r="141" spans="3:11">
      <c r="D141" s="2">
        <f>D140/D21</f>
        <v>214.11989459738714</v>
      </c>
      <c r="E141" s="2">
        <f>E140/D21</f>
        <v>272.63541176344017</v>
      </c>
      <c r="F141" s="2">
        <f>F140/F21</f>
        <v>210.5149991241135</v>
      </c>
      <c r="I141" s="2">
        <f>I140/I21</f>
        <v>273.28036183116296</v>
      </c>
      <c r="K141" s="2">
        <f>K140/I21</f>
        <v>347.9634814634839</v>
      </c>
    </row>
    <row r="142" spans="3:11">
      <c r="E142" s="3"/>
      <c r="K142" s="5"/>
    </row>
    <row r="143" spans="3:11">
      <c r="C143" s="44" t="s">
        <v>155</v>
      </c>
      <c r="D143">
        <f>D92*100-1</f>
        <v>4</v>
      </c>
      <c r="E143">
        <f>D143+3</f>
        <v>7</v>
      </c>
      <c r="F143">
        <f>F92*100-1</f>
        <v>4</v>
      </c>
      <c r="I143">
        <f>I92*100-1</f>
        <v>4</v>
      </c>
      <c r="K143">
        <f>I143+3</f>
        <v>7</v>
      </c>
    </row>
    <row r="144" spans="3:11">
      <c r="D144">
        <f>D143/1200</f>
        <v>3.3333333333333335E-3</v>
      </c>
      <c r="E144">
        <f>E143/1200</f>
        <v>5.8333333333333336E-3</v>
      </c>
      <c r="F144">
        <f>F143/1200</f>
        <v>3.3333333333333335E-3</v>
      </c>
      <c r="I144">
        <f>I143/1200</f>
        <v>3.3333333333333335E-3</v>
      </c>
      <c r="K144">
        <f>K143/1200</f>
        <v>5.8333333333333336E-3</v>
      </c>
    </row>
    <row r="145" spans="3:12">
      <c r="D145">
        <f>(1+D144)^360</f>
        <v>3.3134980146069579</v>
      </c>
      <c r="E145">
        <f>(1+E144)^360</f>
        <v>8.1164974753596617</v>
      </c>
      <c r="F145">
        <f>(1+F144)^360</f>
        <v>3.3134980146069579</v>
      </c>
      <c r="I145">
        <f>(1+I144)^360</f>
        <v>3.3134980146069579</v>
      </c>
      <c r="K145">
        <f>(1+K144)^360</f>
        <v>8.1164974753596617</v>
      </c>
    </row>
    <row r="146" spans="3:12">
      <c r="D146">
        <f>(D144*D145)/(D145-1)</f>
        <v>4.7741529546545284E-3</v>
      </c>
      <c r="E146">
        <f>(E144*E145)/(E145-1)</f>
        <v>6.6530249517918263E-3</v>
      </c>
      <c r="F146">
        <f>(F144*F145)/(F145-1)</f>
        <v>4.7741529546545284E-3</v>
      </c>
      <c r="I146">
        <f>(I144*I145)/(I145-1)</f>
        <v>4.7741529546545284E-3</v>
      </c>
      <c r="K146">
        <f>(K144*K145)/(K145-1)</f>
        <v>6.6530249517918263E-3</v>
      </c>
    </row>
    <row r="147" spans="3:12">
      <c r="D147" s="2">
        <f>D146*(D25-D101-D102)</f>
        <v>16180.190425455836</v>
      </c>
      <c r="E147" s="2">
        <f>E146*(D25)</f>
        <v>37579.86378168263</v>
      </c>
      <c r="F147" s="2">
        <f>F146*(D25-D101-D102)</f>
        <v>16180.190425455836</v>
      </c>
      <c r="G147" s="146"/>
      <c r="H147" s="2"/>
      <c r="I147" s="2">
        <f>I146*(I25-F101-F102)</f>
        <v>21004.338466917354</v>
      </c>
      <c r="J147" s="146"/>
      <c r="K147" s="2">
        <f>K146*(I25)</f>
        <v>48784.356528293029</v>
      </c>
    </row>
    <row r="148" spans="3:12">
      <c r="D148" s="2">
        <f>D147*12</f>
        <v>194162.28510547004</v>
      </c>
      <c r="E148" s="2">
        <f>E147*12</f>
        <v>450958.36538019159</v>
      </c>
      <c r="F148" s="2">
        <f>F147*12</f>
        <v>194162.28510547004</v>
      </c>
      <c r="I148" s="2">
        <f>I147*12</f>
        <v>252052.06160300825</v>
      </c>
      <c r="K148" s="2">
        <f>K147*12</f>
        <v>585412.27833951637</v>
      </c>
    </row>
    <row r="149" spans="3:12">
      <c r="D149" s="2">
        <f>D148/D21</f>
        <v>727.3942222989316</v>
      </c>
      <c r="E149" s="2">
        <f>E148/D21</f>
        <v>1689.434739072715</v>
      </c>
      <c r="F149" s="2">
        <f>F148/F21</f>
        <v>715.14790514012043</v>
      </c>
      <c r="I149" s="2">
        <f>I148/I21</f>
        <v>928.37032559502825</v>
      </c>
      <c r="K149" s="2">
        <f>K148/I21</f>
        <v>2156.218774775924</v>
      </c>
    </row>
    <row r="150" spans="3:12">
      <c r="E150" s="3"/>
      <c r="K150" s="1"/>
    </row>
    <row r="151" spans="3:12">
      <c r="E151" s="3"/>
    </row>
    <row r="152" spans="3:12" ht="29.1">
      <c r="C152" s="45"/>
      <c r="D152" s="10" t="s">
        <v>156</v>
      </c>
      <c r="E152" s="10" t="s">
        <v>157</v>
      </c>
      <c r="F152" s="10" t="s">
        <v>158</v>
      </c>
      <c r="G152" s="131"/>
      <c r="H152" s="28"/>
      <c r="J152"/>
      <c r="K152" s="28"/>
      <c r="L152" s="3"/>
    </row>
    <row r="153" spans="3:12">
      <c r="C153" s="45" t="s">
        <v>159</v>
      </c>
      <c r="D153" s="132">
        <f>E111</f>
        <v>0.51978576312352487</v>
      </c>
      <c r="E153" s="12">
        <f>G111</f>
        <v>0.42104985476087536</v>
      </c>
      <c r="F153" s="12">
        <f>J111</f>
        <v>0.42104985476087536</v>
      </c>
      <c r="G153"/>
      <c r="H153" s="28"/>
      <c r="J153"/>
      <c r="K153" s="28"/>
      <c r="L153" s="3"/>
    </row>
    <row r="154" spans="3:12">
      <c r="C154" s="45" t="s">
        <v>160</v>
      </c>
      <c r="D154" s="12">
        <f>SUM(1-D153)</f>
        <v>0.48021423687647513</v>
      </c>
      <c r="E154" s="12">
        <f>SUM(1-E153)</f>
        <v>0.57895014523912458</v>
      </c>
      <c r="F154" s="12">
        <f>SUM(1-F153)</f>
        <v>0.57895014523912458</v>
      </c>
      <c r="G154"/>
      <c r="H154" s="28"/>
      <c r="J154"/>
      <c r="K154" s="28"/>
      <c r="L154" s="3"/>
    </row>
    <row r="155" spans="3:12">
      <c r="C155" s="49" t="s">
        <v>111</v>
      </c>
      <c r="D155" s="134">
        <f>E67</f>
        <v>0.49369663932353541</v>
      </c>
      <c r="E155" s="12">
        <f>G67</f>
        <v>0.3957165235612965</v>
      </c>
      <c r="F155" s="12">
        <f>J67</f>
        <v>0.3957165235612965</v>
      </c>
      <c r="G155"/>
      <c r="H155" s="28"/>
      <c r="J155"/>
      <c r="K155" s="28"/>
      <c r="L155" s="3"/>
    </row>
    <row r="156" spans="3:12">
      <c r="C156" s="52" t="s">
        <v>126</v>
      </c>
      <c r="D156" s="135">
        <f>G85</f>
        <v>2.5333331199578892E-2</v>
      </c>
      <c r="E156" s="133">
        <f>G85</f>
        <v>2.5333331199578892E-2</v>
      </c>
      <c r="F156" s="133">
        <f>J85</f>
        <v>2.5333331199578892E-2</v>
      </c>
      <c r="G156"/>
      <c r="H156" s="28"/>
      <c r="J156"/>
      <c r="K156" s="28"/>
      <c r="L156" s="3"/>
    </row>
    <row r="157" spans="3:12">
      <c r="C157" s="48" t="s">
        <v>145</v>
      </c>
      <c r="D157" s="132">
        <f>E110</f>
        <v>0</v>
      </c>
      <c r="E157" s="12">
        <f>G110</f>
        <v>0</v>
      </c>
      <c r="F157" s="12">
        <f>J110</f>
        <v>0</v>
      </c>
      <c r="G157"/>
      <c r="H157" s="28"/>
      <c r="J157"/>
      <c r="K157" s="28"/>
      <c r="L157" s="3"/>
    </row>
    <row r="158" spans="3:12">
      <c r="C158" s="10" t="s">
        <v>147</v>
      </c>
      <c r="D158" s="136">
        <f>D112</f>
        <v>82200632.047368139</v>
      </c>
      <c r="E158" s="21">
        <f>F112</f>
        <v>138387505.52820262</v>
      </c>
      <c r="F158" s="21">
        <f>I112</f>
        <v>138387505.52820262</v>
      </c>
      <c r="G158"/>
      <c r="H158" s="28"/>
      <c r="J158"/>
      <c r="K158" s="28"/>
      <c r="L158" s="3"/>
    </row>
    <row r="159" spans="3:12">
      <c r="C159" s="10" t="s">
        <v>148</v>
      </c>
      <c r="D159" s="136">
        <f>D113</f>
        <v>971.45092737061793</v>
      </c>
      <c r="E159" s="21">
        <f>F113</f>
        <v>1494.7669896805542</v>
      </c>
      <c r="F159" s="21">
        <f>I113</f>
        <v>1494.7669896805542</v>
      </c>
      <c r="G159"/>
      <c r="H159" s="28"/>
      <c r="J159"/>
      <c r="K159" s="28"/>
      <c r="L159" s="3"/>
    </row>
    <row r="160" spans="3:12">
      <c r="C160" s="45" t="s">
        <v>161</v>
      </c>
      <c r="D160" s="137">
        <f>D114</f>
        <v>4.5844911341736463</v>
      </c>
      <c r="E160" s="22">
        <f>F114</f>
        <v>7.1749312605554687</v>
      </c>
      <c r="F160" s="22">
        <f>E164</f>
        <v>7.1749312605554687</v>
      </c>
      <c r="G160"/>
      <c r="H160" s="28"/>
      <c r="J160"/>
      <c r="K160" s="28"/>
      <c r="L160" s="3"/>
    </row>
    <row r="161" spans="3:12">
      <c r="C161" s="45"/>
      <c r="D161" s="45"/>
      <c r="E161" s="11"/>
      <c r="F161" s="11"/>
      <c r="G161"/>
      <c r="H161" s="28"/>
      <c r="J161"/>
      <c r="K161" s="28"/>
      <c r="L161" s="3"/>
    </row>
    <row r="162" spans="3:12">
      <c r="C162" s="45" t="s">
        <v>162</v>
      </c>
      <c r="D162" s="136">
        <v>56562</v>
      </c>
      <c r="E162" s="21">
        <f>D162</f>
        <v>56562</v>
      </c>
      <c r="F162" s="21">
        <f>E162</f>
        <v>56562</v>
      </c>
      <c r="G162"/>
      <c r="H162" s="28"/>
      <c r="J162"/>
      <c r="K162" s="28"/>
      <c r="L162" s="3"/>
    </row>
    <row r="163" spans="3:12">
      <c r="C163" s="45" t="s">
        <v>161</v>
      </c>
      <c r="D163" s="45"/>
      <c r="E163" s="22">
        <f>SUM(D21*D113/E162)</f>
        <v>4.5844911341736463</v>
      </c>
      <c r="F163" s="11"/>
      <c r="G163"/>
      <c r="H163" s="28"/>
      <c r="J163"/>
      <c r="K163" s="28"/>
      <c r="L163" s="3"/>
    </row>
    <row r="164" spans="3:12">
      <c r="C164" s="45" t="s">
        <v>161</v>
      </c>
      <c r="D164" s="45"/>
      <c r="E164" s="22">
        <f>SUM(I21*I113/E162)</f>
        <v>7.1749312605554687</v>
      </c>
      <c r="F164" s="11"/>
      <c r="G164"/>
      <c r="H164" s="28"/>
      <c r="J164"/>
      <c r="K164" s="28"/>
      <c r="L164" s="3"/>
    </row>
    <row r="165" spans="3:12">
      <c r="C165" s="45" t="s">
        <v>163</v>
      </c>
      <c r="D165" s="45"/>
      <c r="E165" s="11"/>
      <c r="F165" s="11"/>
      <c r="G165"/>
      <c r="H165" s="28"/>
      <c r="J165"/>
      <c r="K165" s="28"/>
      <c r="L165" s="3"/>
    </row>
    <row r="166" spans="3:12">
      <c r="C166" s="45" t="s">
        <v>164</v>
      </c>
      <c r="D166" s="136">
        <v>1000</v>
      </c>
      <c r="E166" s="21">
        <f>D166</f>
        <v>1000</v>
      </c>
      <c r="F166" s="21">
        <v>1000</v>
      </c>
      <c r="G166"/>
      <c r="H166" s="28"/>
      <c r="J166"/>
      <c r="K166" s="28"/>
      <c r="L166" s="3"/>
    </row>
    <row r="167" spans="3:12">
      <c r="C167" s="45" t="s">
        <v>165</v>
      </c>
      <c r="D167" s="136">
        <f>D159</f>
        <v>971.45092737061793</v>
      </c>
      <c r="E167" s="21">
        <f>E159</f>
        <v>1494.7669896805542</v>
      </c>
      <c r="F167" s="21">
        <f>F159</f>
        <v>1494.7669896805542</v>
      </c>
      <c r="G167"/>
      <c r="H167" s="28"/>
      <c r="J167"/>
      <c r="K167" s="28"/>
      <c r="L167" s="3"/>
    </row>
    <row r="168" spans="3:12">
      <c r="C168" s="45" t="s">
        <v>166</v>
      </c>
      <c r="D168" s="21">
        <f>D166+D167</f>
        <v>1971.450927370618</v>
      </c>
      <c r="E168" s="21">
        <f>E166+E167</f>
        <v>2494.7669896805542</v>
      </c>
      <c r="F168" s="21">
        <f>F166+F167</f>
        <v>2494.7669896805542</v>
      </c>
      <c r="G168"/>
      <c r="H168" s="28"/>
      <c r="J168"/>
      <c r="K168" s="28"/>
      <c r="L168" s="3"/>
    </row>
    <row r="169" spans="3:12">
      <c r="C169" s="45" t="s">
        <v>161</v>
      </c>
      <c r="D169" s="45"/>
      <c r="E169" s="20"/>
      <c r="F169" s="20"/>
      <c r="G169"/>
      <c r="H169" s="28"/>
      <c r="J169"/>
      <c r="K169" s="28"/>
      <c r="L169" s="3"/>
    </row>
    <row r="170" spans="3:12">
      <c r="C170" s="45" t="s">
        <v>167</v>
      </c>
      <c r="D170" s="22">
        <f>ROUND(D160,0)</f>
        <v>5</v>
      </c>
      <c r="E170" s="22">
        <f>ROUND(E160,0)</f>
        <v>7</v>
      </c>
      <c r="F170" s="22">
        <f>ROUND(F160,0)</f>
        <v>7</v>
      </c>
      <c r="G170"/>
      <c r="H170" s="28"/>
      <c r="J170"/>
      <c r="K170" s="28"/>
      <c r="L170" s="3"/>
    </row>
    <row r="171" spans="3:12">
      <c r="C171" s="45" t="s">
        <v>168</v>
      </c>
      <c r="D171" s="22">
        <f>ROUND(D166*D21/E$162,0)</f>
        <v>5</v>
      </c>
      <c r="E171" s="20">
        <f>ROUND(E166*D21/E$162,0)</f>
        <v>5</v>
      </c>
      <c r="F171" s="20">
        <f>ROUND(F166*D21/D$162,0)</f>
        <v>5</v>
      </c>
      <c r="G171"/>
      <c r="H171" s="28"/>
      <c r="J171"/>
      <c r="K171" s="28"/>
      <c r="L171" s="3"/>
    </row>
    <row r="172" spans="3:12">
      <c r="C172" s="45" t="s">
        <v>169</v>
      </c>
      <c r="D172" s="20">
        <f>D170+D171</f>
        <v>10</v>
      </c>
      <c r="E172" s="20">
        <f>E170+E171</f>
        <v>12</v>
      </c>
      <c r="F172" s="20">
        <f>F170+F171</f>
        <v>12</v>
      </c>
      <c r="G172"/>
      <c r="H172" s="28"/>
      <c r="J172"/>
      <c r="K172" s="28"/>
      <c r="L172" s="3"/>
    </row>
    <row r="173" spans="3:12">
      <c r="C173" s="44" t="s">
        <v>166</v>
      </c>
    </row>
    <row r="174" spans="3:12">
      <c r="C174" s="45" t="s">
        <v>164</v>
      </c>
      <c r="D174" s="2">
        <f>D166*D3</f>
        <v>84616350.38000001</v>
      </c>
      <c r="E174" s="130">
        <f>E166*F3</f>
        <v>92581323.031342387</v>
      </c>
      <c r="F174" s="2">
        <f>F166*I3</f>
        <v>92581323.031342387</v>
      </c>
    </row>
    <row r="175" spans="3:12">
      <c r="C175" s="45" t="s">
        <v>165</v>
      </c>
      <c r="D175" s="2">
        <f>D158</f>
        <v>82200632.047368139</v>
      </c>
      <c r="E175" s="2">
        <f>E158</f>
        <v>138387505.52820262</v>
      </c>
      <c r="F175" s="2">
        <f>F158</f>
        <v>138387505.52820262</v>
      </c>
    </row>
    <row r="176" spans="3:12">
      <c r="C176" s="45" t="s">
        <v>166</v>
      </c>
      <c r="D176" s="2">
        <f>D174+D175</f>
        <v>166816982.42736816</v>
      </c>
      <c r="E176" s="2">
        <f>E174+E175</f>
        <v>230968828.55954501</v>
      </c>
      <c r="F176" s="2">
        <f>F174+F175</f>
        <v>230968828.55954501</v>
      </c>
    </row>
    <row r="178" spans="3:6">
      <c r="C178" s="44" t="s">
        <v>170</v>
      </c>
      <c r="D178" s="1">
        <v>5895</v>
      </c>
      <c r="E178" s="147">
        <f>D178*(1+D7)^5</f>
        <v>6449.8988294673754</v>
      </c>
      <c r="F178" s="1">
        <f>D178*(1+D7)^5</f>
        <v>6449.8988294673754</v>
      </c>
    </row>
    <row r="179" spans="3:6">
      <c r="C179" s="44" t="s">
        <v>171</v>
      </c>
      <c r="D179" s="2">
        <f>D175/D178</f>
        <v>13944.127573768981</v>
      </c>
      <c r="E179" s="2">
        <f>E175/E178</f>
        <v>21455.763754922416</v>
      </c>
      <c r="F179" s="2">
        <f>F175/F178</f>
        <v>21455.763754922416</v>
      </c>
    </row>
    <row r="180" spans="3:6">
      <c r="C180" s="44" t="s">
        <v>172</v>
      </c>
      <c r="D180" s="5">
        <f>D179/D162</f>
        <v>0.24652819160865919</v>
      </c>
      <c r="E180" s="5">
        <f>E179/E162</f>
        <v>0.37933177318557365</v>
      </c>
      <c r="F180" s="5">
        <f>F179/F162</f>
        <v>0.37933177318557365</v>
      </c>
    </row>
  </sheetData>
  <mergeCells count="3">
    <mergeCell ref="D1:E1"/>
    <mergeCell ref="F1:G1"/>
    <mergeCell ref="I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E6A4E-905A-47F0-A33E-1C7AFE184254}">
  <dimension ref="A1:BX70"/>
  <sheetViews>
    <sheetView topLeftCell="A41" workbookViewId="0">
      <selection activeCell="D54" sqref="D54"/>
    </sheetView>
  </sheetViews>
  <sheetFormatPr defaultRowHeight="14.45"/>
  <cols>
    <col min="1" max="1" width="26.140625" customWidth="1"/>
    <col min="2" max="2" width="15.28515625" bestFit="1" customWidth="1"/>
    <col min="3" max="4" width="11.7109375" bestFit="1" customWidth="1"/>
    <col min="5" max="5" width="13.28515625" bestFit="1" customWidth="1"/>
    <col min="6" max="6" width="11.7109375" bestFit="1" customWidth="1"/>
    <col min="7" max="7" width="12.42578125" customWidth="1"/>
    <col min="8" max="8" width="13.42578125" customWidth="1"/>
    <col min="9" max="9" width="13.5703125" customWidth="1"/>
    <col min="10" max="10" width="13.7109375" customWidth="1"/>
    <col min="11" max="11" width="11.7109375" bestFit="1" customWidth="1"/>
    <col min="12" max="12" width="8.85546875" customWidth="1"/>
    <col min="13" max="13" width="42.85546875" style="2" customWidth="1"/>
    <col min="14" max="14" width="11.5703125" style="2" hidden="1" customWidth="1"/>
    <col min="15" max="15" width="12.28515625" style="2" hidden="1" customWidth="1"/>
    <col min="16" max="16" width="11.7109375" style="2" hidden="1" customWidth="1"/>
    <col min="17" max="17" width="10.5703125" style="2" hidden="1" customWidth="1"/>
    <col min="18" max="18" width="10.140625" style="2" hidden="1" customWidth="1"/>
    <col min="19" max="19" width="10" style="2" hidden="1" customWidth="1"/>
    <col min="20" max="20" width="7.28515625" hidden="1" customWidth="1"/>
    <col min="21" max="21" width="7.140625" style="2" hidden="1" customWidth="1"/>
    <col min="22" max="22" width="4.42578125" style="13" hidden="1" customWidth="1"/>
    <col min="23" max="23" width="9.85546875" style="2" hidden="1" customWidth="1"/>
    <col min="24" max="24" width="8.7109375" hidden="1" customWidth="1"/>
    <col min="25" max="25" width="13.140625" style="2" hidden="1" customWidth="1"/>
    <col min="26" max="26" width="11.85546875" style="2" hidden="1" customWidth="1"/>
    <col min="27" max="27" width="11.140625" style="2" hidden="1" customWidth="1"/>
    <col min="28" max="28" width="11.28515625" hidden="1" customWidth="1"/>
    <col min="29" max="29" width="11.5703125" hidden="1" customWidth="1"/>
    <col min="30" max="30" width="11.85546875" hidden="1" customWidth="1"/>
    <col min="31" max="31" width="11.140625" hidden="1" customWidth="1"/>
    <col min="32" max="32" width="10.85546875" hidden="1" customWidth="1"/>
    <col min="33" max="33" width="11.140625" style="2" hidden="1" customWidth="1"/>
    <col min="34" max="34" width="10.42578125" style="1" hidden="1" customWidth="1"/>
    <col min="35" max="35" width="13.140625" style="2" hidden="1" customWidth="1"/>
    <col min="36" max="36" width="9.28515625" hidden="1" customWidth="1"/>
    <col min="37" max="37" width="8.5703125" hidden="1" customWidth="1"/>
    <col min="38" max="42" width="8.42578125" style="2" customWidth="1"/>
    <col min="43" max="43" width="10.140625" style="2" customWidth="1"/>
    <col min="44" max="44" width="14.140625" style="2" customWidth="1"/>
    <col min="45" max="45" width="10.140625" style="2" customWidth="1"/>
    <col min="46" max="46" width="9.42578125" style="1" customWidth="1"/>
    <col min="47" max="48" width="12" style="2" customWidth="1"/>
    <col min="49" max="49" width="11.140625" customWidth="1"/>
    <col min="50" max="50" width="7.42578125" customWidth="1"/>
    <col min="51" max="51" width="6" customWidth="1"/>
    <col min="52" max="52" width="6.42578125" style="2" customWidth="1"/>
    <col min="53" max="53" width="8.42578125" style="5" customWidth="1"/>
    <col min="54" max="54" width="6.28515625" style="2" customWidth="1"/>
    <col min="55" max="55" width="6.42578125" style="5" customWidth="1"/>
    <col min="56" max="56" width="24" customWidth="1"/>
    <col min="57" max="57" width="6" customWidth="1"/>
    <col min="58" max="62" width="8.42578125" style="2" customWidth="1"/>
    <col min="63" max="63" width="10.140625" style="2" customWidth="1"/>
    <col min="64" max="64" width="15.5703125" style="2" customWidth="1"/>
    <col min="65" max="65" width="9.42578125" style="1" customWidth="1"/>
    <col min="66" max="66" width="12" style="2" customWidth="1"/>
    <col min="67" max="67" width="11.140625" customWidth="1"/>
    <col min="68" max="68" width="7" customWidth="1"/>
    <col min="69" max="69" width="6.42578125" style="2" customWidth="1"/>
    <col min="70" max="70" width="6.5703125" style="5" customWidth="1"/>
    <col min="71" max="71" width="6.28515625" style="2" customWidth="1"/>
    <col min="72" max="72" width="6.42578125" style="5" customWidth="1"/>
    <col min="73" max="73" width="7.5703125" style="1" customWidth="1"/>
    <col min="74" max="74" width="6.140625" customWidth="1"/>
    <col min="75" max="75" width="44.7109375" customWidth="1"/>
    <col min="76" max="76" width="24.7109375" customWidth="1"/>
  </cols>
  <sheetData>
    <row r="1" spans="1:75">
      <c r="A1" s="11"/>
      <c r="B1" s="11" t="s">
        <v>173</v>
      </c>
      <c r="C1" s="11" t="s">
        <v>174</v>
      </c>
      <c r="D1" s="11" t="s">
        <v>175</v>
      </c>
      <c r="E1" s="11" t="s">
        <v>176</v>
      </c>
      <c r="F1" s="11" t="s">
        <v>177</v>
      </c>
      <c r="G1" s="11" t="s">
        <v>178</v>
      </c>
      <c r="H1" s="11" t="s">
        <v>179</v>
      </c>
      <c r="I1" s="11" t="s">
        <v>180</v>
      </c>
      <c r="J1" s="11" t="s">
        <v>181</v>
      </c>
      <c r="K1" s="11" t="s">
        <v>182</v>
      </c>
      <c r="M1" s="143" t="s">
        <v>183</v>
      </c>
      <c r="N1" s="143" t="s">
        <v>184</v>
      </c>
      <c r="O1" s="143" t="s">
        <v>185</v>
      </c>
      <c r="P1" s="143" t="s">
        <v>186</v>
      </c>
      <c r="Q1" s="143" t="s">
        <v>187</v>
      </c>
      <c r="R1" s="143" t="s">
        <v>188</v>
      </c>
      <c r="S1" s="143" t="s">
        <v>189</v>
      </c>
      <c r="T1" s="3" t="s">
        <v>190</v>
      </c>
      <c r="U1" s="143" t="s">
        <v>191</v>
      </c>
      <c r="V1" s="171" t="s">
        <v>192</v>
      </c>
      <c r="W1" s="143" t="s">
        <v>193</v>
      </c>
      <c r="X1" s="143" t="s">
        <v>194</v>
      </c>
      <c r="Y1" s="143" t="s">
        <v>195</v>
      </c>
      <c r="Z1" s="143" t="s">
        <v>196</v>
      </c>
      <c r="AA1" s="143" t="s">
        <v>189</v>
      </c>
      <c r="AB1" s="3" t="s">
        <v>190</v>
      </c>
      <c r="AC1" s="3" t="s">
        <v>197</v>
      </c>
      <c r="AD1" s="3" t="s">
        <v>198</v>
      </c>
      <c r="AE1" s="3" t="s">
        <v>199</v>
      </c>
      <c r="AF1" s="3" t="s">
        <v>200</v>
      </c>
      <c r="AG1" s="143" t="s">
        <v>201</v>
      </c>
      <c r="AH1" s="172" t="s">
        <v>202</v>
      </c>
      <c r="AI1" s="143" t="s">
        <v>203</v>
      </c>
      <c r="AJ1" s="3" t="s">
        <v>191</v>
      </c>
      <c r="AK1" s="3" t="s">
        <v>204</v>
      </c>
      <c r="AL1" s="143" t="s">
        <v>205</v>
      </c>
      <c r="AM1" s="143" t="s">
        <v>185</v>
      </c>
      <c r="AN1" s="143" t="s">
        <v>206</v>
      </c>
      <c r="AO1" s="143" t="s">
        <v>207</v>
      </c>
      <c r="AP1" s="143" t="s">
        <v>208</v>
      </c>
      <c r="AQ1" s="143" t="s">
        <v>187</v>
      </c>
      <c r="AR1" s="143" t="s">
        <v>209</v>
      </c>
      <c r="AS1" s="143" t="s">
        <v>210</v>
      </c>
      <c r="AT1" s="172" t="s">
        <v>211</v>
      </c>
      <c r="AU1" s="143" t="s">
        <v>212</v>
      </c>
      <c r="AV1" s="143" t="s">
        <v>213</v>
      </c>
      <c r="AW1" s="3" t="s">
        <v>191</v>
      </c>
      <c r="AX1" s="3" t="s">
        <v>214</v>
      </c>
      <c r="AY1" s="3" t="s">
        <v>215</v>
      </c>
      <c r="AZ1" s="143" t="s">
        <v>216</v>
      </c>
      <c r="BA1" s="55" t="s">
        <v>204</v>
      </c>
      <c r="BB1" s="143" t="s">
        <v>217</v>
      </c>
      <c r="BC1" s="55" t="s">
        <v>204</v>
      </c>
      <c r="BD1" s="3"/>
      <c r="BE1" s="3"/>
      <c r="BF1" s="143" t="s">
        <v>205</v>
      </c>
      <c r="BG1" s="143" t="s">
        <v>207</v>
      </c>
      <c r="BH1" s="143" t="s">
        <v>208</v>
      </c>
      <c r="BI1" s="143" t="s">
        <v>185</v>
      </c>
      <c r="BJ1" s="143" t="s">
        <v>206</v>
      </c>
      <c r="BK1" s="143" t="s">
        <v>187</v>
      </c>
      <c r="BL1" s="143" t="s">
        <v>218</v>
      </c>
      <c r="BM1" s="172" t="s">
        <v>219</v>
      </c>
      <c r="BN1" s="143" t="s">
        <v>220</v>
      </c>
      <c r="BO1" s="3" t="s">
        <v>191</v>
      </c>
      <c r="BP1" s="3" t="s">
        <v>204</v>
      </c>
      <c r="BQ1" s="143" t="s">
        <v>216</v>
      </c>
      <c r="BR1" s="55" t="s">
        <v>204</v>
      </c>
      <c r="BS1" s="143" t="s">
        <v>217</v>
      </c>
      <c r="BT1" s="55" t="s">
        <v>204</v>
      </c>
      <c r="BU1" s="172" t="s">
        <v>221</v>
      </c>
      <c r="BV1" s="3" t="s">
        <v>222</v>
      </c>
      <c r="BW1" s="3" t="s">
        <v>223</v>
      </c>
    </row>
    <row r="2" spans="1:75" hidden="1">
      <c r="A2" s="11" t="s">
        <v>224</v>
      </c>
      <c r="B2" s="20">
        <v>27947</v>
      </c>
      <c r="C2" s="20">
        <v>30154</v>
      </c>
      <c r="D2" s="20">
        <v>33968</v>
      </c>
      <c r="E2" s="20">
        <v>34873</v>
      </c>
      <c r="F2" s="11"/>
      <c r="G2" s="11"/>
      <c r="H2" s="11"/>
      <c r="I2" s="11"/>
      <c r="J2" s="11"/>
      <c r="K2" s="11"/>
    </row>
    <row r="3" spans="1:75" hidden="1">
      <c r="A3" s="11" t="s">
        <v>225</v>
      </c>
      <c r="B3" s="11"/>
      <c r="C3" s="12">
        <f>(C2-B2)/B2</f>
        <v>7.8970909221025509E-2</v>
      </c>
      <c r="D3" s="12">
        <f>(D2-C2)/C2</f>
        <v>0.12648404855077269</v>
      </c>
      <c r="E3" s="12">
        <f>(E2-D2)/D2</f>
        <v>2.664272256241168E-2</v>
      </c>
      <c r="F3" s="12"/>
      <c r="G3" s="12"/>
      <c r="H3" s="12"/>
      <c r="I3" s="12"/>
      <c r="J3" s="12"/>
      <c r="K3" s="12">
        <f>AVERAGE(C3:F3)</f>
        <v>7.7365893444736628E-2</v>
      </c>
    </row>
    <row r="4" spans="1:75" hidden="1">
      <c r="A4" s="11"/>
      <c r="B4" s="11"/>
      <c r="C4" s="12"/>
      <c r="D4" s="12"/>
      <c r="E4" s="12"/>
      <c r="F4" s="12"/>
      <c r="G4" s="12"/>
      <c r="H4" s="12"/>
      <c r="I4" s="12"/>
      <c r="J4" s="12"/>
      <c r="K4" s="12"/>
    </row>
    <row r="5" spans="1:75">
      <c r="A5" s="40" t="s">
        <v>224</v>
      </c>
      <c r="B5" s="163">
        <v>80290</v>
      </c>
      <c r="C5" s="163">
        <v>78551</v>
      </c>
      <c r="D5" s="163">
        <v>78636</v>
      </c>
      <c r="E5" s="20">
        <v>78797.521999999997</v>
      </c>
      <c r="F5" s="20">
        <v>79371.44</v>
      </c>
      <c r="G5" s="20">
        <v>78884.899999999994</v>
      </c>
      <c r="H5" s="20">
        <v>79333.070510000005</v>
      </c>
      <c r="I5" s="20">
        <v>80638.688190000001</v>
      </c>
      <c r="J5" s="20">
        <v>84616.350380000003</v>
      </c>
      <c r="K5" s="40"/>
      <c r="M5" s="2" t="s">
        <v>226</v>
      </c>
      <c r="N5" s="2">
        <v>1177741</v>
      </c>
      <c r="O5" s="2">
        <v>113358</v>
      </c>
      <c r="P5" s="2">
        <v>0</v>
      </c>
      <c r="Q5" s="2">
        <f t="shared" ref="Q5:Q7" si="0">SUM(N5:P5)</f>
        <v>1291099</v>
      </c>
      <c r="S5" s="2">
        <v>7038745</v>
      </c>
      <c r="T5" s="5">
        <f t="shared" ref="T5:T7" si="1">Q5/S5</f>
        <v>0.18342744338656963</v>
      </c>
      <c r="U5" s="2">
        <f>Q5/AD5</f>
        <v>2214.5780445969126</v>
      </c>
      <c r="V5" s="13">
        <v>6</v>
      </c>
      <c r="W5" s="2" t="s">
        <v>227</v>
      </c>
      <c r="X5" s="5"/>
      <c r="Y5" s="2">
        <f>S5/AD5</f>
        <v>12073.319039451115</v>
      </c>
      <c r="Z5" s="2">
        <v>1301247</v>
      </c>
      <c r="AA5" s="2">
        <v>7214357</v>
      </c>
      <c r="AB5" s="5">
        <f t="shared" ref="AB5:AB7" si="2">Z5/AA5</f>
        <v>0.18036908902622922</v>
      </c>
      <c r="AC5" s="2">
        <f t="shared" ref="AC5:AC7" si="3">Q5-Z5</f>
        <v>-10148</v>
      </c>
      <c r="AD5">
        <v>583</v>
      </c>
      <c r="AE5" s="2">
        <f>Z5/AD5</f>
        <v>2231.9845626072042</v>
      </c>
      <c r="AF5" s="2">
        <f>AA5/AD5</f>
        <v>12374.540308747855</v>
      </c>
      <c r="AG5" s="2">
        <v>1258216</v>
      </c>
      <c r="AH5" s="1">
        <v>573</v>
      </c>
      <c r="AI5" s="2">
        <v>7230692</v>
      </c>
      <c r="AJ5" s="2">
        <f t="shared" ref="AJ5" si="4">AG5/AH5</f>
        <v>2195.8394415357766</v>
      </c>
      <c r="AK5" s="5">
        <f t="shared" ref="AK5" si="5">AG5/AI5</f>
        <v>0.17401045432442705</v>
      </c>
      <c r="AL5" s="2">
        <v>66707</v>
      </c>
      <c r="AM5" s="2">
        <v>7427</v>
      </c>
      <c r="AN5" s="2">
        <v>70410</v>
      </c>
      <c r="AO5" s="2">
        <v>0</v>
      </c>
      <c r="AP5" s="2">
        <v>0</v>
      </c>
      <c r="AQ5" s="2">
        <f t="shared" ref="AQ5:AQ39" si="6">SUM(AL5:AP5)</f>
        <v>144544</v>
      </c>
      <c r="AR5" s="2">
        <f>AQ5</f>
        <v>144544</v>
      </c>
      <c r="AS5" s="2">
        <v>0</v>
      </c>
      <c r="AT5" s="1">
        <v>230</v>
      </c>
      <c r="AU5" s="2">
        <v>2303493</v>
      </c>
      <c r="AV5" s="2">
        <f>AU5-AS5+AO5+AP5</f>
        <v>2303493</v>
      </c>
      <c r="AW5" s="2">
        <f t="shared" ref="AW5:AW39" si="7">AR5/AT5</f>
        <v>628.45217391304345</v>
      </c>
      <c r="AX5" s="5">
        <f t="shared" ref="AX5:AX39" si="8">AR5/AV5</f>
        <v>6.274991936159563E-2</v>
      </c>
      <c r="AY5" s="5">
        <f>BP5</f>
        <v>9.3852506222301291E-2</v>
      </c>
      <c r="AZ5" s="2">
        <f>(AO5+AP5+AL5)/AT5</f>
        <v>290.03043478260872</v>
      </c>
      <c r="BA5" s="5">
        <f>(AO5+AP5+AL5)/AV5</f>
        <v>2.895906347447116E-2</v>
      </c>
      <c r="BB5" s="2">
        <f>SUM(AM5:AN5)/AT5</f>
        <v>338.42173913043479</v>
      </c>
      <c r="BC5" s="5">
        <f>(AM5+AN5)/AV5</f>
        <v>3.3790855887124466E-2</v>
      </c>
      <c r="BD5" s="5"/>
      <c r="BE5" s="5"/>
      <c r="BF5" s="2">
        <v>50226</v>
      </c>
      <c r="BG5" s="2">
        <v>0</v>
      </c>
      <c r="BH5" s="2">
        <v>0</v>
      </c>
      <c r="BI5" s="2">
        <v>11384</v>
      </c>
      <c r="BJ5" s="2">
        <v>53654</v>
      </c>
      <c r="BK5" s="2">
        <f>SUM(BF5:BJ5)</f>
        <v>115264</v>
      </c>
      <c r="BL5" s="2">
        <v>115263.91</v>
      </c>
      <c r="BM5" s="1">
        <v>126</v>
      </c>
      <c r="BN5" s="2">
        <v>1228138.8599999999</v>
      </c>
      <c r="BO5" s="2">
        <f>BL5/BM5</f>
        <v>914.79293650793659</v>
      </c>
      <c r="BP5" s="5">
        <f>BL5/BN5</f>
        <v>9.3852506222301291E-2</v>
      </c>
      <c r="BQ5" s="2">
        <f>(BF5+BG5+BH5)/BM5</f>
        <v>398.61904761904759</v>
      </c>
      <c r="BR5" s="5">
        <f>(BF5+BG5+BH5)/BN5</f>
        <v>4.0896027017661506E-2</v>
      </c>
      <c r="BS5" s="2">
        <f>SUM(BI5:BJ5)/BM5</f>
        <v>516.17460317460313</v>
      </c>
      <c r="BT5" s="5">
        <f>(BI5+BJ5)/BN5</f>
        <v>5.2956552486255512E-2</v>
      </c>
      <c r="BV5" s="5"/>
      <c r="BW5" t="s">
        <v>228</v>
      </c>
    </row>
    <row r="6" spans="1:75">
      <c r="A6" s="40" t="s">
        <v>225</v>
      </c>
      <c r="B6" s="40"/>
      <c r="C6" s="167">
        <f t="shared" ref="C6:J6" si="9">(C5-B5)/B5</f>
        <v>-2.1658986175115209E-2</v>
      </c>
      <c r="D6" s="167">
        <f t="shared" si="9"/>
        <v>1.0820995276953826E-3</v>
      </c>
      <c r="E6" s="167">
        <f t="shared" si="9"/>
        <v>2.0540464927005088E-3</v>
      </c>
      <c r="F6" s="12">
        <f t="shared" si="9"/>
        <v>7.2834523907998674E-3</v>
      </c>
      <c r="G6" s="41">
        <f t="shared" si="9"/>
        <v>-6.1299127242747282E-3</v>
      </c>
      <c r="H6" s="41">
        <f t="shared" si="9"/>
        <v>5.6813219006427197E-3</v>
      </c>
      <c r="I6" s="41">
        <f t="shared" si="9"/>
        <v>1.6457420236059329E-2</v>
      </c>
      <c r="J6" s="41">
        <f t="shared" si="9"/>
        <v>4.9326970456511868E-2</v>
      </c>
      <c r="K6" s="41">
        <f>AVERAGE(F6:J6)</f>
        <v>1.4523850451947812E-2</v>
      </c>
      <c r="M6" s="2" t="s">
        <v>229</v>
      </c>
      <c r="N6" s="2">
        <v>1177741</v>
      </c>
      <c r="O6" s="2">
        <v>113358</v>
      </c>
      <c r="P6" s="2">
        <v>0</v>
      </c>
      <c r="Q6" s="2">
        <f t="shared" si="0"/>
        <v>1291099</v>
      </c>
      <c r="S6" s="2">
        <v>7038745</v>
      </c>
      <c r="T6" s="5">
        <f t="shared" si="1"/>
        <v>0.18342744338656963</v>
      </c>
      <c r="U6" s="2">
        <f>Q6/AD6</f>
        <v>2214.5780445969126</v>
      </c>
      <c r="V6" s="13">
        <v>10</v>
      </c>
      <c r="W6" s="2" t="s">
        <v>227</v>
      </c>
      <c r="X6" s="5"/>
      <c r="Y6" s="2">
        <f>S6/AD6</f>
        <v>12073.319039451115</v>
      </c>
      <c r="Z6" s="2">
        <v>1301247</v>
      </c>
      <c r="AA6" s="2">
        <v>7214357</v>
      </c>
      <c r="AB6" s="5">
        <f t="shared" si="2"/>
        <v>0.18036908902622922</v>
      </c>
      <c r="AC6" s="2">
        <f t="shared" si="3"/>
        <v>-10148</v>
      </c>
      <c r="AD6">
        <v>583</v>
      </c>
      <c r="AE6" s="2">
        <f>Z6/AD6</f>
        <v>2231.9845626072042</v>
      </c>
      <c r="AF6" s="2">
        <f>AA6/AD6</f>
        <v>12374.540308747855</v>
      </c>
      <c r="AG6" s="2">
        <v>1258216</v>
      </c>
      <c r="AH6" s="1">
        <v>573</v>
      </c>
      <c r="AI6" s="2">
        <v>7230692</v>
      </c>
      <c r="AJ6" s="2">
        <f t="shared" ref="AJ6:AJ39" si="10">AG6/AH6</f>
        <v>2195.8394415357766</v>
      </c>
      <c r="AK6" s="5">
        <f t="shared" ref="AK6:AK39" si="11">AG6/AI6</f>
        <v>0.17401045432442705</v>
      </c>
      <c r="AL6" s="2">
        <v>894968</v>
      </c>
      <c r="AM6" s="2">
        <v>107453</v>
      </c>
      <c r="AN6" s="2">
        <v>385049</v>
      </c>
      <c r="AO6" s="2">
        <v>0</v>
      </c>
      <c r="AP6" s="2">
        <v>0</v>
      </c>
      <c r="AQ6" s="2">
        <f t="shared" si="6"/>
        <v>1387470</v>
      </c>
      <c r="AR6" s="2">
        <f>AQ6</f>
        <v>1387470</v>
      </c>
      <c r="AS6" s="2">
        <v>0</v>
      </c>
      <c r="AT6" s="1">
        <v>462</v>
      </c>
      <c r="AU6" s="2">
        <v>9148450</v>
      </c>
      <c r="AV6" s="2">
        <f t="shared" ref="AV6:AV39" si="12">AU6-AS6+AO6+AP6</f>
        <v>9148450</v>
      </c>
      <c r="AW6" s="2">
        <f t="shared" si="7"/>
        <v>3003.181818181818</v>
      </c>
      <c r="AX6" s="5">
        <f t="shared" si="8"/>
        <v>0.15166175690964043</v>
      </c>
      <c r="AY6" s="5">
        <f>BP6</f>
        <v>0.1620518004300438</v>
      </c>
      <c r="AZ6" s="2">
        <f t="shared" ref="AZ6:AZ39" si="13">(AO6+AP6+AL6)/AT6</f>
        <v>1937.1601731601731</v>
      </c>
      <c r="BA6" s="5">
        <f t="shared" ref="BA6:BA39" si="14">(AO6+AP6+AL6)/AV6</f>
        <v>9.7827282217206199E-2</v>
      </c>
      <c r="BB6" s="2">
        <f t="shared" ref="BB6:BB39" si="15">SUM(AM6:AN6)/AT6</f>
        <v>1066.0216450216451</v>
      </c>
      <c r="BC6" s="5">
        <f t="shared" ref="BC6:BC39" si="16">(AM6+AN6)/AV6</f>
        <v>5.3834474692434235E-2</v>
      </c>
      <c r="BD6" s="5"/>
      <c r="BE6" s="5"/>
      <c r="BF6" s="2">
        <v>894968</v>
      </c>
      <c r="BG6" s="2">
        <v>0</v>
      </c>
      <c r="BH6" s="2">
        <v>0</v>
      </c>
      <c r="BI6" s="2">
        <v>87869</v>
      </c>
      <c r="BJ6" s="2">
        <v>258367</v>
      </c>
      <c r="BK6" s="2">
        <f t="shared" ref="BK6:BK39" si="17">SUM(BF6:BJ6)</f>
        <v>1241204</v>
      </c>
      <c r="BL6" s="2">
        <v>1241204</v>
      </c>
      <c r="BM6" s="1">
        <v>549</v>
      </c>
      <c r="BN6" s="2">
        <v>7659303.9799999986</v>
      </c>
      <c r="BO6" s="2">
        <f>BL6/BM6</f>
        <v>2260.8451730418942</v>
      </c>
      <c r="BP6" s="5">
        <f>BL6/BN6</f>
        <v>0.1620518004300438</v>
      </c>
      <c r="BQ6" s="2">
        <f t="shared" ref="BQ6:BQ39" si="18">(BF6+BG6+BH6)/BM6</f>
        <v>1630.1785063752277</v>
      </c>
      <c r="BR6" s="5">
        <f t="shared" ref="BR6:BR39" si="19">(BF6+BG6+BH6)/BN6</f>
        <v>0.11684717075297489</v>
      </c>
      <c r="BS6" s="2">
        <f t="shared" ref="BS6:BS39" si="20">SUM(BI6:BJ6)/BM6</f>
        <v>630.66666666666663</v>
      </c>
      <c r="BT6" s="5">
        <f t="shared" ref="BT6:BT39" si="21">(BI6+BJ6)/BN6</f>
        <v>4.5204629677068918E-2</v>
      </c>
      <c r="BU6" s="1">
        <v>556</v>
      </c>
      <c r="BV6" s="5">
        <f>(BU6-BM6)/BM6/5</f>
        <v>2.5500910746812386E-3</v>
      </c>
    </row>
    <row r="7" spans="1:75">
      <c r="A7" s="11"/>
      <c r="B7" s="11"/>
      <c r="C7" s="12"/>
      <c r="D7" s="12"/>
      <c r="E7" s="12"/>
      <c r="F7" s="12"/>
      <c r="G7" s="12"/>
      <c r="H7" s="12"/>
      <c r="I7" s="12"/>
      <c r="J7" s="168" t="s">
        <v>189</v>
      </c>
      <c r="K7" s="164">
        <f>(J5-F5)/F5/5</f>
        <v>1.3216114965282225E-2</v>
      </c>
      <c r="M7" s="2" t="s">
        <v>230</v>
      </c>
      <c r="N7" s="2">
        <v>353138</v>
      </c>
      <c r="O7" s="2">
        <v>0</v>
      </c>
      <c r="P7" s="2">
        <v>0</v>
      </c>
      <c r="Q7" s="2">
        <f t="shared" si="0"/>
        <v>353138</v>
      </c>
      <c r="S7" s="2">
        <f>3550627</f>
        <v>3550627</v>
      </c>
      <c r="T7" s="5">
        <f t="shared" si="1"/>
        <v>9.945792672674432E-2</v>
      </c>
      <c r="U7" s="2">
        <f t="shared" ref="U7:U38" si="22">Q7/AD7</f>
        <v>1429.7085020242914</v>
      </c>
      <c r="V7" s="13">
        <v>20</v>
      </c>
      <c r="W7" s="2" t="s">
        <v>231</v>
      </c>
      <c r="X7" s="5"/>
      <c r="Y7" s="2">
        <f t="shared" ref="Y7:Y38" si="23">S7/AD7</f>
        <v>14375.008097165992</v>
      </c>
      <c r="Z7" s="2">
        <v>366610</v>
      </c>
      <c r="AA7" s="2">
        <v>2858847</v>
      </c>
      <c r="AB7" s="5">
        <f t="shared" si="2"/>
        <v>0.12823701303357612</v>
      </c>
      <c r="AC7" s="2">
        <f t="shared" si="3"/>
        <v>-13472</v>
      </c>
      <c r="AD7">
        <v>247</v>
      </c>
      <c r="AE7" s="2">
        <f>Z7/AD7</f>
        <v>1484.251012145749</v>
      </c>
      <c r="AF7" s="2">
        <f t="shared" ref="AF7:AF37" si="24">AA7/AD7</f>
        <v>11574.27935222672</v>
      </c>
      <c r="AG7" s="2">
        <v>662518.18999999994</v>
      </c>
      <c r="AH7" s="1">
        <v>247</v>
      </c>
      <c r="AI7" s="2">
        <v>3453553.3499999996</v>
      </c>
      <c r="AJ7" s="2">
        <f t="shared" si="10"/>
        <v>2682.2598785425098</v>
      </c>
      <c r="AK7" s="5">
        <f t="shared" si="11"/>
        <v>0.1918366745369664</v>
      </c>
      <c r="AL7" s="2">
        <v>237927.48</v>
      </c>
      <c r="AM7" s="2">
        <v>62841.51</v>
      </c>
      <c r="AN7" s="2">
        <v>92123.19</v>
      </c>
      <c r="AO7" s="2">
        <v>0</v>
      </c>
      <c r="AP7" s="2">
        <v>0</v>
      </c>
      <c r="AQ7" s="2">
        <f t="shared" si="6"/>
        <v>392892.18</v>
      </c>
      <c r="AR7" s="2">
        <f>AQ7</f>
        <v>392892.18</v>
      </c>
      <c r="AS7" s="2">
        <v>0</v>
      </c>
      <c r="AT7" s="1">
        <v>218</v>
      </c>
      <c r="AU7" s="2">
        <v>3380830</v>
      </c>
      <c r="AV7" s="2">
        <f t="shared" si="12"/>
        <v>3380830</v>
      </c>
      <c r="AW7" s="2">
        <f t="shared" si="7"/>
        <v>1802.2577064220184</v>
      </c>
      <c r="AX7" s="5">
        <f t="shared" si="8"/>
        <v>0.11621175273527506</v>
      </c>
      <c r="AY7" s="5">
        <f>BP7</f>
        <v>0.23959342470693287</v>
      </c>
      <c r="AZ7" s="2">
        <f t="shared" si="13"/>
        <v>1091.4104587155964</v>
      </c>
      <c r="BA7" s="5">
        <f t="shared" si="14"/>
        <v>7.0375464013274852E-2</v>
      </c>
      <c r="BB7" s="2">
        <f t="shared" si="15"/>
        <v>710.84724770642208</v>
      </c>
      <c r="BC7" s="5">
        <f t="shared" si="16"/>
        <v>4.5836288722000219E-2</v>
      </c>
      <c r="BD7" s="5"/>
      <c r="BE7" s="5"/>
      <c r="BF7" s="2">
        <v>242069.65</v>
      </c>
      <c r="BG7" s="2">
        <v>292404</v>
      </c>
      <c r="BH7" s="2">
        <v>0</v>
      </c>
      <c r="BI7" s="2">
        <v>79962.720000000001</v>
      </c>
      <c r="BJ7" s="2">
        <v>71555.75</v>
      </c>
      <c r="BK7" s="2">
        <f t="shared" si="17"/>
        <v>685992.12</v>
      </c>
      <c r="BL7" s="2">
        <v>685992.12</v>
      </c>
      <c r="BM7" s="1">
        <v>233</v>
      </c>
      <c r="BN7" s="2">
        <v>2863150.8599999994</v>
      </c>
      <c r="BO7" s="2">
        <f>BL7/BM7</f>
        <v>2944.1721888412017</v>
      </c>
      <c r="BP7" s="5">
        <f>BL7/BN7</f>
        <v>0.23959342470693287</v>
      </c>
      <c r="BQ7" s="2">
        <f t="shared" si="18"/>
        <v>2293.8783261802578</v>
      </c>
      <c r="BR7" s="5">
        <f t="shared" si="19"/>
        <v>0.1866732408225252</v>
      </c>
      <c r="BS7" s="2">
        <f t="shared" si="20"/>
        <v>650.29386266094423</v>
      </c>
      <c r="BT7" s="5">
        <f t="shared" si="21"/>
        <v>5.2920183884407695E-2</v>
      </c>
      <c r="BU7" s="1">
        <v>309</v>
      </c>
      <c r="BV7" s="5">
        <f>(BU7-BM7)/BM7/5</f>
        <v>6.5236051502145925E-2</v>
      </c>
    </row>
    <row r="8" spans="1:75">
      <c r="A8" s="40" t="s">
        <v>232</v>
      </c>
      <c r="B8" s="174">
        <v>349</v>
      </c>
      <c r="C8" s="174">
        <v>339</v>
      </c>
      <c r="D8" s="174">
        <v>322</v>
      </c>
      <c r="E8" s="11">
        <f>306-7</f>
        <v>299</v>
      </c>
      <c r="F8" s="11">
        <f>299-7</f>
        <v>292</v>
      </c>
      <c r="G8" s="11">
        <f>307-7</f>
        <v>300</v>
      </c>
      <c r="H8" s="20">
        <v>309</v>
      </c>
      <c r="I8" s="20">
        <v>318</v>
      </c>
      <c r="J8" s="20">
        <v>317</v>
      </c>
      <c r="K8" s="40"/>
      <c r="M8" s="2" t="s">
        <v>233</v>
      </c>
      <c r="N8" s="2">
        <v>675385</v>
      </c>
      <c r="O8" s="2">
        <v>52989</v>
      </c>
      <c r="P8" s="2">
        <v>0</v>
      </c>
      <c r="Q8" s="2">
        <f t="shared" ref="Q8:Q38" si="25">SUM(N8:P8)</f>
        <v>728374</v>
      </c>
      <c r="S8" s="2">
        <v>4802052</v>
      </c>
      <c r="T8" s="5">
        <f t="shared" ref="T8:T38" si="26">Q8/S8</f>
        <v>0.15167974024437886</v>
      </c>
      <c r="U8" s="2">
        <f t="shared" si="22"/>
        <v>1785.2303921568628</v>
      </c>
      <c r="V8" s="13">
        <v>40</v>
      </c>
      <c r="W8" s="2" t="s">
        <v>234</v>
      </c>
      <c r="X8" s="5"/>
      <c r="Y8" s="2">
        <f t="shared" si="23"/>
        <v>11769.735294117647</v>
      </c>
      <c r="Z8" s="2">
        <v>137358</v>
      </c>
      <c r="AA8" s="2">
        <v>4701033</v>
      </c>
      <c r="AB8" s="5">
        <f t="shared" ref="AB8:AB37" si="27">Z8/AA8</f>
        <v>2.9218684489132497E-2</v>
      </c>
      <c r="AC8" s="2">
        <f t="shared" ref="AC8:AC37" si="28">Q8-Z8</f>
        <v>591016</v>
      </c>
      <c r="AD8">
        <v>408</v>
      </c>
      <c r="AE8" s="2">
        <f t="shared" ref="AE8:AE37" si="29">Z8/AD8</f>
        <v>336.66176470588238</v>
      </c>
      <c r="AF8" s="2">
        <f t="shared" si="24"/>
        <v>11522.139705882353</v>
      </c>
      <c r="AG8" s="2">
        <v>898595.19</v>
      </c>
      <c r="AH8" s="1">
        <v>404</v>
      </c>
      <c r="AI8" s="2">
        <v>4701033.3899999997</v>
      </c>
      <c r="AJ8" s="2">
        <f t="shared" si="10"/>
        <v>2224.2455198019802</v>
      </c>
      <c r="AK8" s="5">
        <f t="shared" si="11"/>
        <v>0.19114843810968976</v>
      </c>
      <c r="AL8" s="2">
        <v>965140</v>
      </c>
      <c r="AM8" s="2">
        <v>157808</v>
      </c>
      <c r="AN8" s="2">
        <v>230852</v>
      </c>
      <c r="AO8" s="2">
        <v>0</v>
      </c>
      <c r="AP8" s="2">
        <v>0</v>
      </c>
      <c r="AQ8" s="2">
        <f t="shared" si="6"/>
        <v>1353800</v>
      </c>
      <c r="AR8" s="2">
        <f t="shared" ref="AR8:AR39" si="30">AQ8</f>
        <v>1353800</v>
      </c>
      <c r="AS8" s="2">
        <v>0</v>
      </c>
      <c r="AT8" s="1">
        <v>688</v>
      </c>
      <c r="AU8" s="2">
        <v>10130028</v>
      </c>
      <c r="AV8" s="2">
        <f t="shared" si="12"/>
        <v>10130028</v>
      </c>
      <c r="AW8" s="2">
        <f t="shared" si="7"/>
        <v>1967.7325581395348</v>
      </c>
      <c r="AX8" s="5">
        <f t="shared" si="8"/>
        <v>0.13364227621088509</v>
      </c>
      <c r="AY8" s="5">
        <f t="shared" ref="AY8:AY14" si="31">BP8</f>
        <v>0.1268953006523528</v>
      </c>
      <c r="AZ8" s="2">
        <f t="shared" si="13"/>
        <v>1402.8197674418604</v>
      </c>
      <c r="BA8" s="5">
        <f t="shared" si="14"/>
        <v>9.527515619897596E-2</v>
      </c>
      <c r="BB8" s="2">
        <f t="shared" si="15"/>
        <v>564.91279069767438</v>
      </c>
      <c r="BC8" s="5">
        <f t="shared" si="16"/>
        <v>3.8367120011909145E-2</v>
      </c>
      <c r="BD8" s="5"/>
      <c r="BE8" s="5"/>
      <c r="BF8" s="2">
        <v>553031</v>
      </c>
      <c r="BG8" s="2">
        <v>0</v>
      </c>
      <c r="BH8" s="2">
        <v>0</v>
      </c>
      <c r="BI8" s="2">
        <v>57630.59</v>
      </c>
      <c r="BJ8" s="2">
        <v>139950</v>
      </c>
      <c r="BK8" s="2">
        <f t="shared" si="17"/>
        <v>750611.59</v>
      </c>
      <c r="BL8" s="2">
        <v>750611.59</v>
      </c>
      <c r="BM8" s="1">
        <v>473</v>
      </c>
      <c r="BN8" s="2">
        <v>5915204</v>
      </c>
      <c r="BO8" s="2">
        <f t="shared" ref="BO8:BO14" si="32">BL8/BM8</f>
        <v>1586.9166807610993</v>
      </c>
      <c r="BP8" s="5">
        <f t="shared" ref="BP8:BP14" si="33">BL8/BN8</f>
        <v>0.1268953006523528</v>
      </c>
      <c r="BQ8" s="2">
        <f t="shared" si="18"/>
        <v>1169.1987315010572</v>
      </c>
      <c r="BR8" s="5">
        <f t="shared" si="19"/>
        <v>9.34931407268456E-2</v>
      </c>
      <c r="BS8" s="2">
        <f t="shared" si="20"/>
        <v>417.7179492600423</v>
      </c>
      <c r="BT8" s="5">
        <f t="shared" si="21"/>
        <v>3.340215992550722E-2</v>
      </c>
      <c r="BU8" s="1">
        <v>655</v>
      </c>
      <c r="BV8" s="5">
        <f>(BU8-BM8)/BM8/5</f>
        <v>7.6955602536997889E-2</v>
      </c>
    </row>
    <row r="9" spans="1:75">
      <c r="A9" s="40" t="s">
        <v>225</v>
      </c>
      <c r="B9" s="40"/>
      <c r="C9" s="167">
        <f t="shared" ref="C9:J9" si="34">(C8-B8)/B8</f>
        <v>-2.865329512893983E-2</v>
      </c>
      <c r="D9" s="167">
        <f t="shared" si="34"/>
        <v>-5.0147492625368731E-2</v>
      </c>
      <c r="E9" s="167">
        <f t="shared" si="34"/>
        <v>-7.1428571428571425E-2</v>
      </c>
      <c r="F9" s="12">
        <f t="shared" si="34"/>
        <v>-2.3411371237458192E-2</v>
      </c>
      <c r="G9" s="41">
        <f t="shared" si="34"/>
        <v>2.7397260273972601E-2</v>
      </c>
      <c r="H9" s="41">
        <f t="shared" si="34"/>
        <v>0.03</v>
      </c>
      <c r="I9" s="41">
        <f t="shared" si="34"/>
        <v>2.9126213592233011E-2</v>
      </c>
      <c r="J9" s="41">
        <f t="shared" si="34"/>
        <v>-3.1446540880503146E-3</v>
      </c>
      <c r="K9" s="41">
        <f>AVERAGE(F9:J9)</f>
        <v>1.1993489708139422E-2</v>
      </c>
      <c r="M9" s="2" t="s">
        <v>235</v>
      </c>
      <c r="N9" s="2">
        <v>150592</v>
      </c>
      <c r="O9" s="2">
        <v>50324</v>
      </c>
      <c r="P9" s="2">
        <v>0</v>
      </c>
      <c r="Q9" s="2">
        <f>SUM(N9:P9)</f>
        <v>200916</v>
      </c>
      <c r="S9" s="2">
        <v>1309771</v>
      </c>
      <c r="T9" s="5">
        <f>Q9/S9</f>
        <v>0.15339780770837039</v>
      </c>
      <c r="U9" s="2">
        <f t="shared" ref="U9" si="35">Q9/AD9</f>
        <v>1660.4628099173553</v>
      </c>
      <c r="V9" s="13">
        <v>45</v>
      </c>
      <c r="W9" s="2" t="s">
        <v>234</v>
      </c>
      <c r="X9" s="5"/>
      <c r="Y9" s="2">
        <f t="shared" ref="Y9" si="36">S9/AD9</f>
        <v>10824.553719008265</v>
      </c>
      <c r="Z9" s="2">
        <v>245908</v>
      </c>
      <c r="AA9" s="2">
        <v>1228232</v>
      </c>
      <c r="AB9" s="5">
        <f>Z9/AA9</f>
        <v>0.20021298907698221</v>
      </c>
      <c r="AC9" s="2">
        <f>Q9-Z9</f>
        <v>-44992</v>
      </c>
      <c r="AD9">
        <v>121</v>
      </c>
      <c r="AE9" s="2">
        <f t="shared" ref="AE9" si="37">Z9/AD9</f>
        <v>2032.297520661157</v>
      </c>
      <c r="AF9" s="2">
        <f t="shared" ref="AF9" si="38">AA9/AD9</f>
        <v>10150.677685950413</v>
      </c>
      <c r="AG9" s="2">
        <v>242990</v>
      </c>
      <c r="AH9" s="1">
        <v>123</v>
      </c>
      <c r="AI9" s="2">
        <v>1348497.2660000001</v>
      </c>
      <c r="AJ9" s="2">
        <f t="shared" ref="AJ9" si="39">AG9/AH9</f>
        <v>1975.5284552845528</v>
      </c>
      <c r="AK9" s="5">
        <f t="shared" ref="AK9" si="40">AG9/AI9</f>
        <v>0.18019317215286071</v>
      </c>
      <c r="AL9" s="2">
        <v>565730</v>
      </c>
      <c r="AM9" s="2">
        <v>57030</v>
      </c>
      <c r="AN9" s="2">
        <v>177719</v>
      </c>
      <c r="AO9" s="2">
        <v>171220</v>
      </c>
      <c r="AP9" s="2">
        <v>4874</v>
      </c>
      <c r="AQ9" s="2">
        <f t="shared" si="6"/>
        <v>976573</v>
      </c>
      <c r="AR9" s="2">
        <f t="shared" si="30"/>
        <v>976573</v>
      </c>
      <c r="AS9" s="2">
        <v>186188</v>
      </c>
      <c r="AT9" s="1">
        <v>276</v>
      </c>
      <c r="AU9" s="2">
        <v>4382253</v>
      </c>
      <c r="AV9" s="2">
        <f t="shared" si="12"/>
        <v>4372159</v>
      </c>
      <c r="AW9" s="2">
        <f t="shared" si="7"/>
        <v>3538.307971014493</v>
      </c>
      <c r="AX9" s="5">
        <f t="shared" si="8"/>
        <v>0.22336173044026991</v>
      </c>
      <c r="AY9" s="5">
        <f t="shared" si="31"/>
        <v>0.23136547086613796</v>
      </c>
      <c r="AZ9" s="2">
        <f t="shared" si="13"/>
        <v>2687.768115942029</v>
      </c>
      <c r="BA9" s="5">
        <f t="shared" si="14"/>
        <v>0.16966995024654868</v>
      </c>
      <c r="BB9" s="2">
        <f t="shared" si="15"/>
        <v>850.53985507246375</v>
      </c>
      <c r="BC9" s="5">
        <f t="shared" si="16"/>
        <v>5.3691780193721228E-2</v>
      </c>
      <c r="BD9" s="5"/>
      <c r="BE9" s="5"/>
      <c r="BF9" s="2">
        <v>504394</v>
      </c>
      <c r="BG9" s="2">
        <v>0</v>
      </c>
      <c r="BH9" s="2">
        <v>0</v>
      </c>
      <c r="BI9" s="2">
        <v>116200</v>
      </c>
      <c r="BJ9" s="2">
        <v>62385</v>
      </c>
      <c r="BK9" s="2">
        <f t="shared" si="17"/>
        <v>682979</v>
      </c>
      <c r="BL9" s="2">
        <v>682979.23</v>
      </c>
      <c r="BM9" s="1">
        <v>304</v>
      </c>
      <c r="BN9" s="2">
        <v>2951949.69</v>
      </c>
      <c r="BO9" s="2">
        <f t="shared" si="32"/>
        <v>2246.6422039473682</v>
      </c>
      <c r="BP9" s="5">
        <f t="shared" si="33"/>
        <v>0.23136547086613796</v>
      </c>
      <c r="BQ9" s="2">
        <f t="shared" si="18"/>
        <v>1659.1907894736842</v>
      </c>
      <c r="BR9" s="5">
        <f t="shared" si="19"/>
        <v>0.17086808820241106</v>
      </c>
      <c r="BS9" s="2">
        <f t="shared" si="20"/>
        <v>587.45065789473688</v>
      </c>
      <c r="BT9" s="5">
        <f t="shared" si="21"/>
        <v>6.0497304749119893E-2</v>
      </c>
      <c r="BV9" s="5"/>
    </row>
    <row r="10" spans="1:75">
      <c r="A10" s="11"/>
      <c r="B10" s="11"/>
      <c r="C10" s="11"/>
      <c r="D10" s="12"/>
      <c r="E10" s="12"/>
      <c r="F10" s="12"/>
      <c r="G10" s="12"/>
      <c r="H10" s="12"/>
      <c r="I10" s="12"/>
      <c r="J10" s="168" t="s">
        <v>189</v>
      </c>
      <c r="K10" s="164">
        <f>(J8-F8)/F8/5</f>
        <v>1.7123287671232876E-2</v>
      </c>
      <c r="M10" s="2" t="s">
        <v>236</v>
      </c>
      <c r="N10" s="2">
        <v>379955</v>
      </c>
      <c r="O10" s="2">
        <v>50949</v>
      </c>
      <c r="P10" s="2">
        <v>194557</v>
      </c>
      <c r="Q10" s="2">
        <f t="shared" si="25"/>
        <v>625461</v>
      </c>
      <c r="S10" s="2">
        <f>3366485+P10</f>
        <v>3561042</v>
      </c>
      <c r="T10" s="5">
        <f t="shared" si="26"/>
        <v>0.17563988293314148</v>
      </c>
      <c r="U10" s="2">
        <f t="shared" si="22"/>
        <v>2113.0439189189187</v>
      </c>
      <c r="V10" s="13">
        <v>50</v>
      </c>
      <c r="W10" s="2" t="s">
        <v>231</v>
      </c>
      <c r="X10" s="5"/>
      <c r="Y10" s="2">
        <f t="shared" si="23"/>
        <v>12030.547297297297</v>
      </c>
      <c r="Z10" s="2">
        <v>451172</v>
      </c>
      <c r="AA10" s="2">
        <v>4252611</v>
      </c>
      <c r="AB10" s="5">
        <f t="shared" si="27"/>
        <v>0.10609293913786143</v>
      </c>
      <c r="AC10" s="2">
        <f t="shared" si="28"/>
        <v>174289</v>
      </c>
      <c r="AD10">
        <v>296</v>
      </c>
      <c r="AE10" s="2">
        <f t="shared" si="29"/>
        <v>1524.2297297297298</v>
      </c>
      <c r="AF10" s="2">
        <f t="shared" si="24"/>
        <v>14366.929054054053</v>
      </c>
      <c r="AG10" s="2">
        <v>1662960.6</v>
      </c>
      <c r="AH10" s="1">
        <v>296</v>
      </c>
      <c r="AI10" s="2">
        <v>4264583.83</v>
      </c>
      <c r="AJ10" s="2">
        <f t="shared" si="10"/>
        <v>5618.1101351351354</v>
      </c>
      <c r="AK10" s="5">
        <f t="shared" si="11"/>
        <v>0.38994674891875675</v>
      </c>
      <c r="AL10" s="2">
        <v>352377</v>
      </c>
      <c r="AM10" s="2">
        <v>68309</v>
      </c>
      <c r="AN10" s="2">
        <v>214484</v>
      </c>
      <c r="AO10" s="2">
        <v>0</v>
      </c>
      <c r="AP10" s="2">
        <v>0</v>
      </c>
      <c r="AQ10" s="2">
        <f t="shared" si="6"/>
        <v>635170</v>
      </c>
      <c r="AR10" s="2">
        <f t="shared" si="30"/>
        <v>635170</v>
      </c>
      <c r="AS10" s="2">
        <v>247957</v>
      </c>
      <c r="AT10" s="1">
        <v>468</v>
      </c>
      <c r="AU10" s="2">
        <v>5556227</v>
      </c>
      <c r="AV10" s="2">
        <f t="shared" si="12"/>
        <v>5308270</v>
      </c>
      <c r="AW10" s="2">
        <f t="shared" si="7"/>
        <v>1357.2008547008547</v>
      </c>
      <c r="AX10" s="166">
        <f t="shared" si="8"/>
        <v>0.11965668664178725</v>
      </c>
      <c r="AY10" s="5">
        <f t="shared" si="31"/>
        <v>0.26214694771183766</v>
      </c>
      <c r="AZ10" s="2">
        <f t="shared" si="13"/>
        <v>752.94230769230774</v>
      </c>
      <c r="BA10" s="5">
        <f t="shared" si="14"/>
        <v>6.6382644439713881E-2</v>
      </c>
      <c r="BB10" s="2">
        <f t="shared" si="15"/>
        <v>604.258547008547</v>
      </c>
      <c r="BC10" s="5">
        <f t="shared" si="16"/>
        <v>5.3274042202073366E-2</v>
      </c>
      <c r="BD10" s="5" t="s">
        <v>237</v>
      </c>
      <c r="BE10" s="5"/>
      <c r="BF10" s="2">
        <v>271517</v>
      </c>
      <c r="BG10" s="2">
        <v>512613</v>
      </c>
      <c r="BH10" s="2">
        <v>125951</v>
      </c>
      <c r="BI10" s="2">
        <v>48250</v>
      </c>
      <c r="BJ10" s="2">
        <v>91494</v>
      </c>
      <c r="BK10" s="2">
        <f t="shared" si="17"/>
        <v>1049825</v>
      </c>
      <c r="BL10" s="2">
        <v>1049825.7299999997</v>
      </c>
      <c r="BM10" s="1">
        <v>337</v>
      </c>
      <c r="BN10" s="2">
        <v>4004722.31</v>
      </c>
      <c r="BO10" s="2">
        <f t="shared" si="32"/>
        <v>3115.2098813056373</v>
      </c>
      <c r="BP10" s="5">
        <f t="shared" si="33"/>
        <v>0.26214694771183766</v>
      </c>
      <c r="BQ10" s="2">
        <f t="shared" si="18"/>
        <v>2700.5370919881307</v>
      </c>
      <c r="BR10" s="5">
        <f t="shared" si="19"/>
        <v>0.22725196144748422</v>
      </c>
      <c r="BS10" s="2">
        <f t="shared" si="20"/>
        <v>414.67062314540061</v>
      </c>
      <c r="BT10" s="5">
        <f t="shared" si="21"/>
        <v>3.4894803979554828E-2</v>
      </c>
      <c r="BU10" s="1">
        <v>392</v>
      </c>
      <c r="BV10" s="5">
        <f>(BU10-BM10)/BM10/5</f>
        <v>3.2640949554896145E-2</v>
      </c>
      <c r="BW10" t="s">
        <v>238</v>
      </c>
    </row>
    <row r="11" spans="1:75">
      <c r="A11" s="11" t="s">
        <v>239</v>
      </c>
      <c r="B11" s="11">
        <v>8</v>
      </c>
      <c r="C11" s="11">
        <v>8</v>
      </c>
      <c r="D11" s="11">
        <v>8</v>
      </c>
      <c r="E11" s="11"/>
      <c r="F11" s="11"/>
      <c r="G11" s="11"/>
      <c r="H11" s="11"/>
      <c r="I11" s="11"/>
      <c r="J11" s="11"/>
      <c r="K11" s="11"/>
      <c r="M11" s="2" t="s">
        <v>240</v>
      </c>
      <c r="N11" s="2">
        <v>150592</v>
      </c>
      <c r="O11" s="2">
        <v>50324</v>
      </c>
      <c r="P11" s="2">
        <v>0</v>
      </c>
      <c r="Q11" s="2">
        <f>SUM(N11:P11)</f>
        <v>200916</v>
      </c>
      <c r="S11" s="2">
        <v>1309771</v>
      </c>
      <c r="T11" s="5">
        <f>Q11/S11</f>
        <v>0.15339780770837039</v>
      </c>
      <c r="U11" s="2">
        <f t="shared" si="22"/>
        <v>1660.4628099173553</v>
      </c>
      <c r="V11" s="13">
        <v>55</v>
      </c>
      <c r="W11" s="2" t="s">
        <v>231</v>
      </c>
      <c r="X11" s="5"/>
      <c r="Y11" s="2">
        <f t="shared" si="23"/>
        <v>10824.553719008265</v>
      </c>
      <c r="Z11" s="2">
        <v>245908</v>
      </c>
      <c r="AA11" s="2">
        <v>1228232</v>
      </c>
      <c r="AB11" s="5">
        <f>Z11/AA11</f>
        <v>0.20021298907698221</v>
      </c>
      <c r="AC11" s="2">
        <f>Q11-Z11</f>
        <v>-44992</v>
      </c>
      <c r="AD11">
        <v>121</v>
      </c>
      <c r="AE11" s="2">
        <f t="shared" si="29"/>
        <v>2032.297520661157</v>
      </c>
      <c r="AF11" s="2">
        <f t="shared" si="24"/>
        <v>10150.677685950413</v>
      </c>
      <c r="AG11" s="2">
        <v>242990</v>
      </c>
      <c r="AH11" s="1">
        <v>123</v>
      </c>
      <c r="AI11" s="2">
        <v>1348497.2660000001</v>
      </c>
      <c r="AJ11" s="2">
        <f t="shared" si="10"/>
        <v>1975.5284552845528</v>
      </c>
      <c r="AK11" s="5">
        <f t="shared" si="11"/>
        <v>0.18019317215286071</v>
      </c>
      <c r="AL11" s="2">
        <v>381252</v>
      </c>
      <c r="AM11" s="2">
        <v>28760</v>
      </c>
      <c r="AN11" s="2">
        <v>95084</v>
      </c>
      <c r="AO11" s="2">
        <v>0</v>
      </c>
      <c r="AP11" s="2">
        <v>0</v>
      </c>
      <c r="AQ11" s="2">
        <f t="shared" si="6"/>
        <v>505096</v>
      </c>
      <c r="AR11" s="2">
        <f t="shared" si="30"/>
        <v>505096</v>
      </c>
      <c r="AS11" s="2">
        <v>0</v>
      </c>
      <c r="AT11" s="1">
        <v>165</v>
      </c>
      <c r="AU11" s="2">
        <v>2436168</v>
      </c>
      <c r="AV11" s="2">
        <f t="shared" si="12"/>
        <v>2436168</v>
      </c>
      <c r="AW11" s="2">
        <f t="shared" si="7"/>
        <v>3061.1878787878786</v>
      </c>
      <c r="AX11" s="5">
        <f t="shared" si="8"/>
        <v>0.20733217085192812</v>
      </c>
      <c r="AY11" s="5">
        <f t="shared" si="31"/>
        <v>0.27716672552567295</v>
      </c>
      <c r="AZ11" s="2">
        <f t="shared" si="13"/>
        <v>2310.6181818181817</v>
      </c>
      <c r="BA11" s="5">
        <f t="shared" si="14"/>
        <v>0.15649659629385165</v>
      </c>
      <c r="BB11" s="2">
        <f t="shared" si="15"/>
        <v>750.56969696969702</v>
      </c>
      <c r="BC11" s="5">
        <f t="shared" si="16"/>
        <v>5.0835574558076455E-2</v>
      </c>
      <c r="BD11" s="5"/>
      <c r="BE11" s="5"/>
      <c r="BF11" s="2">
        <v>806000.04</v>
      </c>
      <c r="BG11" s="2">
        <v>518382</v>
      </c>
      <c r="BH11" s="2">
        <v>124527</v>
      </c>
      <c r="BI11" s="2">
        <v>147134.35999999999</v>
      </c>
      <c r="BJ11" s="2">
        <v>170465.31</v>
      </c>
      <c r="BK11" s="2">
        <f t="shared" si="17"/>
        <v>1766508.71</v>
      </c>
      <c r="BL11" s="2">
        <v>1766508.58</v>
      </c>
      <c r="BM11" s="1">
        <v>810</v>
      </c>
      <c r="BN11" s="2">
        <v>6373451.1299999999</v>
      </c>
      <c r="BO11" s="2">
        <f t="shared" si="32"/>
        <v>2180.8747901234569</v>
      </c>
      <c r="BP11" s="5">
        <f t="shared" si="33"/>
        <v>0.27716672552567295</v>
      </c>
      <c r="BQ11" s="2">
        <f t="shared" si="18"/>
        <v>1788.7765925925926</v>
      </c>
      <c r="BR11" s="5">
        <f t="shared" si="19"/>
        <v>0.22733508274346806</v>
      </c>
      <c r="BS11" s="2">
        <f t="shared" si="20"/>
        <v>392.09835802469132</v>
      </c>
      <c r="BT11" s="5">
        <f t="shared" si="21"/>
        <v>4.983166317931742E-2</v>
      </c>
      <c r="BV11" s="5"/>
    </row>
    <row r="12" spans="1:75">
      <c r="A12" s="11" t="s">
        <v>225</v>
      </c>
      <c r="B12" s="11"/>
      <c r="C12" s="12"/>
      <c r="D12" s="12">
        <f>D11/C8</f>
        <v>2.359882005899705E-2</v>
      </c>
      <c r="E12" s="12"/>
      <c r="F12" s="12"/>
      <c r="G12" s="12"/>
      <c r="H12" s="12"/>
      <c r="I12" s="12"/>
      <c r="J12" s="12"/>
      <c r="K12" s="12">
        <f>AVERAGE(C12:F12)</f>
        <v>2.359882005899705E-2</v>
      </c>
      <c r="M12" s="2" t="s">
        <v>241</v>
      </c>
      <c r="N12" s="2">
        <v>151235</v>
      </c>
      <c r="O12" s="2">
        <v>0</v>
      </c>
      <c r="P12" s="2">
        <f>30502+49720</f>
        <v>80222</v>
      </c>
      <c r="Q12" s="2">
        <f>SUM(N12:P12)</f>
        <v>231457</v>
      </c>
      <c r="R12" s="2">
        <v>-239360</v>
      </c>
      <c r="S12" s="2">
        <f>2153326+P12</f>
        <v>2233548</v>
      </c>
      <c r="T12" s="5">
        <f t="shared" si="26"/>
        <v>0.10362750207293508</v>
      </c>
      <c r="U12" s="2">
        <f t="shared" si="22"/>
        <v>1271.7417582417581</v>
      </c>
      <c r="V12" s="13">
        <v>59</v>
      </c>
      <c r="W12" s="2" t="s">
        <v>242</v>
      </c>
      <c r="X12" s="5" t="s">
        <v>243</v>
      </c>
      <c r="Y12" s="2">
        <f t="shared" si="23"/>
        <v>12272.241758241758</v>
      </c>
      <c r="Z12" s="2">
        <f>212150+80248</f>
        <v>292398</v>
      </c>
      <c r="AA12" s="2">
        <v>2452266</v>
      </c>
      <c r="AB12" s="5">
        <f t="shared" si="27"/>
        <v>0.11923584146254933</v>
      </c>
      <c r="AC12" s="2">
        <f t="shared" si="28"/>
        <v>-60941</v>
      </c>
      <c r="AD12">
        <v>182</v>
      </c>
      <c r="AE12" s="2">
        <f t="shared" si="29"/>
        <v>1606.5824175824175</v>
      </c>
      <c r="AF12" s="2">
        <f t="shared" si="24"/>
        <v>13473.989010989011</v>
      </c>
      <c r="AG12" s="2">
        <v>233333.41</v>
      </c>
      <c r="AH12" s="1">
        <v>182</v>
      </c>
      <c r="AI12" s="2">
        <v>2458542</v>
      </c>
      <c r="AJ12" s="2">
        <f t="shared" si="10"/>
        <v>1282.0517032967034</v>
      </c>
      <c r="AK12" s="5">
        <f t="shared" si="11"/>
        <v>9.4907229569395193E-2</v>
      </c>
      <c r="AL12" s="2">
        <v>0</v>
      </c>
      <c r="AM12" s="2">
        <v>65480</v>
      </c>
      <c r="AN12" s="2">
        <v>119743</v>
      </c>
      <c r="AO12" s="2">
        <v>27637</v>
      </c>
      <c r="AP12" s="2">
        <v>27323</v>
      </c>
      <c r="AQ12" s="2">
        <f t="shared" si="6"/>
        <v>240183</v>
      </c>
      <c r="AR12" s="2">
        <f t="shared" si="30"/>
        <v>240183</v>
      </c>
      <c r="AS12" s="2">
        <v>116355</v>
      </c>
      <c r="AT12" s="1">
        <v>138</v>
      </c>
      <c r="AU12" s="2">
        <v>1987826</v>
      </c>
      <c r="AV12" s="2">
        <f t="shared" si="12"/>
        <v>1926431</v>
      </c>
      <c r="AW12" s="2">
        <f t="shared" si="7"/>
        <v>1740.4565217391305</v>
      </c>
      <c r="AX12" s="5">
        <f t="shared" si="8"/>
        <v>0.12467770711746229</v>
      </c>
      <c r="AY12" s="5">
        <f t="shared" si="31"/>
        <v>7.9675929559439834E-2</v>
      </c>
      <c r="AZ12" s="2">
        <f t="shared" si="13"/>
        <v>398.26086956521738</v>
      </c>
      <c r="BA12" s="5">
        <f t="shared" si="14"/>
        <v>2.8529441230960257E-2</v>
      </c>
      <c r="BB12" s="2">
        <f t="shared" si="15"/>
        <v>1342.195652173913</v>
      </c>
      <c r="BC12" s="5">
        <f t="shared" si="16"/>
        <v>9.6148265886502035E-2</v>
      </c>
      <c r="BD12" s="5" t="s">
        <v>244</v>
      </c>
      <c r="BE12" s="5"/>
      <c r="BF12" s="2">
        <v>0</v>
      </c>
      <c r="BG12" s="2">
        <v>36541</v>
      </c>
      <c r="BH12" s="2">
        <v>30272</v>
      </c>
      <c r="BI12" s="2">
        <v>62823.26</v>
      </c>
      <c r="BJ12" s="2">
        <v>73339.98</v>
      </c>
      <c r="BK12" s="2">
        <f t="shared" si="17"/>
        <v>202976.24</v>
      </c>
      <c r="BL12" s="2">
        <v>202976.73</v>
      </c>
      <c r="BM12" s="1">
        <v>182</v>
      </c>
      <c r="BN12" s="2">
        <v>2547528.8599999994</v>
      </c>
      <c r="BO12" s="2">
        <f t="shared" si="32"/>
        <v>1115.2567582417582</v>
      </c>
      <c r="BP12" s="5">
        <f t="shared" si="33"/>
        <v>7.9675929559439834E-2</v>
      </c>
      <c r="BQ12" s="2">
        <f t="shared" si="18"/>
        <v>367.10439560439562</v>
      </c>
      <c r="BR12" s="5">
        <f t="shared" si="19"/>
        <v>2.6226591992367071E-2</v>
      </c>
      <c r="BS12" s="2">
        <f t="shared" si="20"/>
        <v>748.14967032967024</v>
      </c>
      <c r="BT12" s="5">
        <f t="shared" si="21"/>
        <v>5.344914522381506E-2</v>
      </c>
      <c r="BU12" s="1">
        <v>200</v>
      </c>
      <c r="BV12" s="5">
        <f>(BU12-BM12)/BM12/5</f>
        <v>1.9780219780219779E-2</v>
      </c>
      <c r="BW12" s="141" t="s">
        <v>245</v>
      </c>
    </row>
    <row r="13" spans="1:75">
      <c r="A13" s="11"/>
      <c r="B13" s="11"/>
      <c r="C13" s="12"/>
      <c r="D13" s="12"/>
      <c r="E13" s="12"/>
      <c r="F13" s="12"/>
      <c r="G13" s="12"/>
      <c r="H13" s="12"/>
      <c r="I13" s="12"/>
      <c r="J13" s="12"/>
      <c r="K13" s="12"/>
      <c r="M13" s="2" t="s">
        <v>246</v>
      </c>
      <c r="N13" s="2">
        <v>150592</v>
      </c>
      <c r="O13" s="2">
        <v>50324</v>
      </c>
      <c r="P13" s="2">
        <v>0</v>
      </c>
      <c r="Q13" s="2">
        <f>SUM(N13:P13)</f>
        <v>200916</v>
      </c>
      <c r="S13" s="2">
        <v>1309771</v>
      </c>
      <c r="T13" s="5">
        <f>Q13/S13</f>
        <v>0.15339780770837039</v>
      </c>
      <c r="U13" s="2">
        <f t="shared" ref="U13" si="41">Q13/AD13</f>
        <v>1660.4628099173553</v>
      </c>
      <c r="V13" s="13">
        <v>65</v>
      </c>
      <c r="W13" s="2" t="s">
        <v>234</v>
      </c>
      <c r="X13" s="5" t="s">
        <v>243</v>
      </c>
      <c r="Y13" s="2">
        <f t="shared" ref="Y13" si="42">S13/AD13</f>
        <v>10824.553719008265</v>
      </c>
      <c r="Z13" s="2">
        <v>245908</v>
      </c>
      <c r="AA13" s="2">
        <v>1228232</v>
      </c>
      <c r="AB13" s="5">
        <f>Z13/AA13</f>
        <v>0.20021298907698221</v>
      </c>
      <c r="AC13" s="2">
        <f>Q13-Z13</f>
        <v>-44992</v>
      </c>
      <c r="AD13">
        <v>121</v>
      </c>
      <c r="AE13" s="2">
        <f t="shared" ref="AE13" si="43">Z13/AD13</f>
        <v>2032.297520661157</v>
      </c>
      <c r="AF13" s="2">
        <f t="shared" ref="AF13" si="44">AA13/AD13</f>
        <v>10150.677685950413</v>
      </c>
      <c r="AG13" s="2">
        <v>242990</v>
      </c>
      <c r="AH13" s="1">
        <v>123</v>
      </c>
      <c r="AI13" s="2">
        <v>1348497.2660000001</v>
      </c>
      <c r="AJ13" s="2">
        <f t="shared" ref="AJ13" si="45">AG13/AH13</f>
        <v>1975.5284552845528</v>
      </c>
      <c r="AK13" s="5">
        <f t="shared" ref="AK13" si="46">AG13/AI13</f>
        <v>0.18019317215286071</v>
      </c>
      <c r="AL13" s="2">
        <v>60000</v>
      </c>
      <c r="AM13" s="2">
        <v>84216</v>
      </c>
      <c r="AN13" s="2">
        <v>81433</v>
      </c>
      <c r="AO13" s="2">
        <v>0</v>
      </c>
      <c r="AP13" s="2">
        <v>0</v>
      </c>
      <c r="AQ13" s="2">
        <f t="shared" si="6"/>
        <v>225649</v>
      </c>
      <c r="AR13" s="2">
        <f t="shared" si="30"/>
        <v>225649</v>
      </c>
      <c r="AS13" s="2">
        <v>72347</v>
      </c>
      <c r="AT13" s="1">
        <v>154</v>
      </c>
      <c r="AU13" s="2">
        <v>2033813</v>
      </c>
      <c r="AV13" s="2">
        <f t="shared" si="12"/>
        <v>1961466</v>
      </c>
      <c r="AW13" s="2">
        <f t="shared" si="7"/>
        <v>1465.2532467532467</v>
      </c>
      <c r="AX13" s="5">
        <f t="shared" si="8"/>
        <v>0.11504099484773124</v>
      </c>
      <c r="AY13" s="5">
        <f t="shared" si="31"/>
        <v>0.14070090018017115</v>
      </c>
      <c r="AZ13" s="2">
        <f t="shared" si="13"/>
        <v>389.61038961038963</v>
      </c>
      <c r="BA13" s="5">
        <f t="shared" si="14"/>
        <v>3.0589365301259365E-2</v>
      </c>
      <c r="BB13" s="2">
        <f t="shared" si="15"/>
        <v>1075.6428571428571</v>
      </c>
      <c r="BC13" s="5">
        <f t="shared" si="16"/>
        <v>8.4451629546471868E-2</v>
      </c>
      <c r="BD13" s="5" t="s">
        <v>247</v>
      </c>
      <c r="BE13" s="5"/>
      <c r="BF13" s="2">
        <v>60000</v>
      </c>
      <c r="BG13" s="2">
        <v>33070</v>
      </c>
      <c r="BH13" s="2">
        <v>91195</v>
      </c>
      <c r="BI13" s="2">
        <v>83538.429999999993</v>
      </c>
      <c r="BJ13" s="2">
        <v>102974.02</v>
      </c>
      <c r="BK13" s="2">
        <f t="shared" si="17"/>
        <v>370777.45</v>
      </c>
      <c r="BL13" s="2">
        <v>370777.39</v>
      </c>
      <c r="BM13" s="1">
        <v>198</v>
      </c>
      <c r="BN13" s="2">
        <v>2635216.9</v>
      </c>
      <c r="BO13" s="2">
        <f t="shared" si="32"/>
        <v>1872.6130808080809</v>
      </c>
      <c r="BP13" s="5">
        <f t="shared" si="33"/>
        <v>0.14070090018017115</v>
      </c>
      <c r="BQ13" s="2">
        <f t="shared" si="18"/>
        <v>930.63131313131316</v>
      </c>
      <c r="BR13" s="5">
        <f t="shared" si="19"/>
        <v>6.9924035475030538E-2</v>
      </c>
      <c r="BS13" s="2">
        <f t="shared" si="20"/>
        <v>941.98207070707076</v>
      </c>
      <c r="BT13" s="5">
        <f t="shared" si="21"/>
        <v>7.0776887473664882E-2</v>
      </c>
      <c r="BV13" s="5"/>
      <c r="BW13" t="s">
        <v>248</v>
      </c>
    </row>
    <row r="14" spans="1:75">
      <c r="A14" s="11" t="s">
        <v>249</v>
      </c>
      <c r="B14" s="20"/>
      <c r="C14" s="20"/>
      <c r="D14" s="20"/>
      <c r="E14" s="20">
        <v>1716312</v>
      </c>
      <c r="F14" s="20">
        <v>1712788</v>
      </c>
      <c r="G14" s="20">
        <v>1663975</v>
      </c>
      <c r="H14" s="20">
        <v>1672198</v>
      </c>
      <c r="I14" s="20">
        <v>1671645</v>
      </c>
      <c r="J14" s="163">
        <f>I14*(1+K15)</f>
        <v>1660803.8347187943</v>
      </c>
      <c r="K14" s="11"/>
      <c r="M14" s="2" t="s">
        <v>250</v>
      </c>
      <c r="N14" s="2">
        <v>255738</v>
      </c>
      <c r="O14" s="2">
        <v>0</v>
      </c>
      <c r="P14" s="2">
        <v>0</v>
      </c>
      <c r="Q14" s="2">
        <f t="shared" si="25"/>
        <v>255738</v>
      </c>
      <c r="R14" s="2">
        <v>-323401</v>
      </c>
      <c r="S14" s="2">
        <f>1839573</f>
        <v>1839573</v>
      </c>
      <c r="T14" s="5">
        <f t="shared" si="26"/>
        <v>0.13902030525562181</v>
      </c>
      <c r="U14" s="2">
        <f t="shared" si="22"/>
        <v>1141.6875</v>
      </c>
      <c r="V14" s="13">
        <v>70</v>
      </c>
      <c r="W14" s="2" t="s">
        <v>234</v>
      </c>
      <c r="X14" s="5" t="s">
        <v>243</v>
      </c>
      <c r="Y14" s="2">
        <f t="shared" si="23"/>
        <v>8212.3794642857138</v>
      </c>
      <c r="Z14" s="2">
        <v>255812</v>
      </c>
      <c r="AA14" s="2">
        <v>2137605</v>
      </c>
      <c r="AB14" s="5">
        <f t="shared" si="27"/>
        <v>0.11967225001812777</v>
      </c>
      <c r="AC14" s="2">
        <f t="shared" si="28"/>
        <v>-74</v>
      </c>
      <c r="AD14">
        <v>224</v>
      </c>
      <c r="AE14" s="2">
        <f t="shared" si="29"/>
        <v>1142.0178571428571</v>
      </c>
      <c r="AF14" s="2">
        <f t="shared" si="24"/>
        <v>9542.8794642857138</v>
      </c>
      <c r="AG14" s="2">
        <v>255737.74</v>
      </c>
      <c r="AH14" s="1">
        <v>233</v>
      </c>
      <c r="AI14" s="2">
        <v>2133827</v>
      </c>
      <c r="AJ14" s="2">
        <f t="shared" si="10"/>
        <v>1097.5868669527897</v>
      </c>
      <c r="AK14" s="5">
        <f t="shared" si="11"/>
        <v>0.11984933174057691</v>
      </c>
      <c r="AL14" s="2">
        <v>237500</v>
      </c>
      <c r="AM14" s="2">
        <v>0</v>
      </c>
      <c r="AN14" s="2">
        <v>18593</v>
      </c>
      <c r="AO14" s="2">
        <v>0</v>
      </c>
      <c r="AP14" s="2">
        <v>0</v>
      </c>
      <c r="AQ14" s="2">
        <f t="shared" si="6"/>
        <v>256093</v>
      </c>
      <c r="AR14" s="2">
        <f t="shared" si="30"/>
        <v>256093</v>
      </c>
      <c r="AS14" s="2">
        <v>17336</v>
      </c>
      <c r="AT14" s="1">
        <v>144</v>
      </c>
      <c r="AU14" s="2">
        <v>2151904</v>
      </c>
      <c r="AV14" s="2">
        <f t="shared" si="12"/>
        <v>2134568</v>
      </c>
      <c r="AW14" s="2">
        <f t="shared" si="7"/>
        <v>1778.4236111111111</v>
      </c>
      <c r="AX14" s="5">
        <f t="shared" si="8"/>
        <v>0.11997415870564911</v>
      </c>
      <c r="AY14" s="5">
        <f t="shared" si="31"/>
        <v>0.11389057200906426</v>
      </c>
      <c r="AZ14" s="2">
        <f t="shared" si="13"/>
        <v>1649.3055555555557</v>
      </c>
      <c r="BA14" s="5">
        <f t="shared" si="14"/>
        <v>0.11126373111561684</v>
      </c>
      <c r="BB14" s="2">
        <f t="shared" si="15"/>
        <v>129.11805555555554</v>
      </c>
      <c r="BC14" s="5">
        <f t="shared" si="16"/>
        <v>8.7104275900322693E-3</v>
      </c>
      <c r="BD14" s="5"/>
      <c r="BE14" s="5"/>
      <c r="BF14" s="2">
        <v>237500.04</v>
      </c>
      <c r="BG14" s="2">
        <v>0</v>
      </c>
      <c r="BH14" s="2">
        <v>0</v>
      </c>
      <c r="BI14" s="2">
        <v>2638.09</v>
      </c>
      <c r="BJ14" s="2">
        <v>12187.75</v>
      </c>
      <c r="BK14" s="2">
        <f t="shared" si="17"/>
        <v>252325.88</v>
      </c>
      <c r="BL14" s="2">
        <v>252325.88</v>
      </c>
      <c r="BM14" s="1">
        <v>201</v>
      </c>
      <c r="BN14" s="2">
        <v>2215511.5699999998</v>
      </c>
      <c r="BO14" s="2">
        <f t="shared" si="32"/>
        <v>1255.3526368159205</v>
      </c>
      <c r="BP14" s="5">
        <f t="shared" si="33"/>
        <v>0.11389057200906426</v>
      </c>
      <c r="BQ14" s="2">
        <f t="shared" si="18"/>
        <v>1181.5922388059703</v>
      </c>
      <c r="BR14" s="5">
        <f t="shared" si="19"/>
        <v>0.10719873604632091</v>
      </c>
      <c r="BS14" s="2">
        <f t="shared" si="20"/>
        <v>73.760398009950251</v>
      </c>
      <c r="BT14" s="5">
        <f t="shared" si="21"/>
        <v>6.6918359627433591E-3</v>
      </c>
      <c r="BU14" s="1">
        <v>230</v>
      </c>
      <c r="BV14" s="5">
        <f>(BU14-BM14)/BM14/5</f>
        <v>2.8855721393034828E-2</v>
      </c>
      <c r="BW14" t="s">
        <v>251</v>
      </c>
    </row>
    <row r="15" spans="1:75">
      <c r="A15" s="11" t="s">
        <v>225</v>
      </c>
      <c r="B15" s="12"/>
      <c r="C15" s="12"/>
      <c r="D15" s="12"/>
      <c r="E15" s="12"/>
      <c r="F15" s="12">
        <f>(F14-E14)/E14</f>
        <v>-2.0532397372971813E-3</v>
      </c>
      <c r="G15" s="12">
        <f t="shared" ref="G15:I15" si="47">(G14-F14)/F14</f>
        <v>-2.8499148756296753E-2</v>
      </c>
      <c r="H15" s="12">
        <f t="shared" si="47"/>
        <v>4.9417809762766869E-3</v>
      </c>
      <c r="I15" s="12">
        <f t="shared" si="47"/>
        <v>-3.3070246466028545E-4</v>
      </c>
      <c r="J15" s="12"/>
      <c r="K15" s="41">
        <f>AVERAGE(F15:I15)</f>
        <v>-6.4853274954943824E-3</v>
      </c>
      <c r="M15" s="2" t="s">
        <v>252</v>
      </c>
      <c r="N15" s="2">
        <v>146326</v>
      </c>
      <c r="O15" s="2">
        <v>99327</v>
      </c>
      <c r="P15" s="2">
        <f>106246+24212+77759</f>
        <v>208217</v>
      </c>
      <c r="Q15" s="2">
        <f t="shared" si="25"/>
        <v>453870</v>
      </c>
      <c r="S15" s="2">
        <f>9755755+P15</f>
        <v>9963972</v>
      </c>
      <c r="T15" s="5">
        <f t="shared" si="26"/>
        <v>4.5551111544673145E-2</v>
      </c>
      <c r="U15" s="2">
        <f t="shared" si="22"/>
        <v>501.51381215469615</v>
      </c>
      <c r="V15" s="13">
        <v>80</v>
      </c>
      <c r="W15" s="2" t="s">
        <v>253</v>
      </c>
      <c r="X15" s="5" t="s">
        <v>243</v>
      </c>
      <c r="Y15" s="2">
        <f t="shared" si="23"/>
        <v>11009.913812154697</v>
      </c>
      <c r="Z15" s="2">
        <f>679966+141371</f>
        <v>821337</v>
      </c>
      <c r="AA15" s="2">
        <v>9029037</v>
      </c>
      <c r="AB15" s="5">
        <f t="shared" si="27"/>
        <v>9.0966179449702117E-2</v>
      </c>
      <c r="AC15" s="2">
        <f t="shared" si="28"/>
        <v>-367467</v>
      </c>
      <c r="AD15">
        <v>905</v>
      </c>
      <c r="AE15" s="2">
        <f t="shared" si="29"/>
        <v>907.55469613259663</v>
      </c>
      <c r="AF15" s="2">
        <f t="shared" si="24"/>
        <v>9976.8364640883974</v>
      </c>
      <c r="AG15" s="2">
        <v>959651</v>
      </c>
      <c r="AH15" s="1">
        <v>903</v>
      </c>
      <c r="AI15" s="2">
        <v>9080753</v>
      </c>
      <c r="AJ15" s="2">
        <f t="shared" si="10"/>
        <v>1062.7364341085272</v>
      </c>
      <c r="AK15" s="5">
        <f t="shared" si="11"/>
        <v>0.10567967215934626</v>
      </c>
      <c r="AL15" s="2">
        <v>0</v>
      </c>
      <c r="AM15" s="2">
        <v>142534</v>
      </c>
      <c r="AN15" s="2">
        <v>414313</v>
      </c>
      <c r="AO15" s="2">
        <v>160127.4</v>
      </c>
      <c r="AP15" s="2">
        <v>105091.28</v>
      </c>
      <c r="AQ15" s="2">
        <f t="shared" si="6"/>
        <v>822065.68</v>
      </c>
      <c r="AR15" s="2">
        <f t="shared" si="30"/>
        <v>822065.68</v>
      </c>
      <c r="AS15" s="2">
        <v>600339</v>
      </c>
      <c r="AT15" s="1">
        <v>911</v>
      </c>
      <c r="AU15" s="2">
        <v>15317690</v>
      </c>
      <c r="AV15" s="2">
        <f t="shared" si="12"/>
        <v>14982569.68</v>
      </c>
      <c r="AW15" s="2">
        <f t="shared" si="7"/>
        <v>902.37725576289802</v>
      </c>
      <c r="AX15" s="166">
        <f t="shared" si="8"/>
        <v>5.4868136611929984E-2</v>
      </c>
      <c r="AY15" s="5">
        <f t="shared" ref="AY15:AY22" si="48">BP15</f>
        <v>0.11303053344651726</v>
      </c>
      <c r="AZ15" s="2">
        <f t="shared" ref="AZ15" si="49">(AO15+AP15+AL15)/AT15</f>
        <v>291.12917672886937</v>
      </c>
      <c r="BA15" s="5">
        <f t="shared" ref="BA15" si="50">(AO15+AP15+AL15)/AV15</f>
        <v>1.7701815220257999E-2</v>
      </c>
      <c r="BB15" s="2">
        <f t="shared" ref="BB15" si="51">SUM(AM15:AN15)/AT15</f>
        <v>611.24807903402859</v>
      </c>
      <c r="BC15" s="5">
        <f t="shared" ref="BC15" si="52">(AM15+AN15)/AV15</f>
        <v>3.7166321391671982E-2</v>
      </c>
      <c r="BD15" s="5" t="s">
        <v>254</v>
      </c>
      <c r="BE15" s="5"/>
      <c r="BF15" s="2">
        <v>0</v>
      </c>
      <c r="BG15" s="2">
        <v>135002</v>
      </c>
      <c r="BH15" s="2">
        <v>106410</v>
      </c>
      <c r="BI15" s="2">
        <v>107789</v>
      </c>
      <c r="BJ15" s="2">
        <v>385165</v>
      </c>
      <c r="BK15" s="2">
        <f t="shared" si="17"/>
        <v>734366</v>
      </c>
      <c r="BL15" s="2">
        <v>1134061</v>
      </c>
      <c r="BM15" s="1">
        <v>919</v>
      </c>
      <c r="BN15" s="2">
        <v>10033227</v>
      </c>
      <c r="BO15" s="2">
        <f t="shared" ref="BO15:BO22" si="53">BL15/BM15</f>
        <v>1234.0163220892275</v>
      </c>
      <c r="BP15" s="5">
        <f t="shared" ref="BP15:BP22" si="54">BL15/BN15</f>
        <v>0.11303053344651726</v>
      </c>
      <c r="BV15" s="5"/>
    </row>
    <row r="16" spans="1:75">
      <c r="A16" s="11" t="s">
        <v>255</v>
      </c>
      <c r="B16" s="11"/>
      <c r="C16" s="11"/>
      <c r="D16" s="11"/>
      <c r="E16" s="20">
        <v>1510026.7200000004</v>
      </c>
      <c r="F16" s="20">
        <v>1458882.9100000004</v>
      </c>
      <c r="G16" s="1">
        <v>1500585.52</v>
      </c>
      <c r="H16" s="1">
        <v>1484051.13</v>
      </c>
      <c r="I16" s="20">
        <v>1468443.46</v>
      </c>
      <c r="J16" s="20">
        <f>I16*(1+K17)</f>
        <v>1458597.6451312101</v>
      </c>
      <c r="K16" s="11"/>
      <c r="M16" s="2" t="s">
        <v>256</v>
      </c>
      <c r="N16" s="2">
        <v>150592</v>
      </c>
      <c r="O16" s="2">
        <v>50324</v>
      </c>
      <c r="P16" s="2">
        <v>0</v>
      </c>
      <c r="Q16" s="2">
        <f>SUM(N16:P16)</f>
        <v>200916</v>
      </c>
      <c r="S16" s="2">
        <v>1309771</v>
      </c>
      <c r="T16" s="5">
        <f>Q16/S16</f>
        <v>0.15339780770837039</v>
      </c>
      <c r="U16" s="2">
        <f t="shared" ref="U16:U17" si="55">Q16/AD16</f>
        <v>1660.4628099173553</v>
      </c>
      <c r="V16" s="13">
        <v>85</v>
      </c>
      <c r="W16" s="2" t="s">
        <v>257</v>
      </c>
      <c r="X16" s="5"/>
      <c r="Y16" s="2">
        <f t="shared" ref="Y16:Y17" si="56">S16/AD16</f>
        <v>10824.553719008265</v>
      </c>
      <c r="Z16" s="2">
        <v>245908</v>
      </c>
      <c r="AA16" s="2">
        <v>1228232</v>
      </c>
      <c r="AB16" s="5">
        <f>Z16/AA16</f>
        <v>0.20021298907698221</v>
      </c>
      <c r="AC16" s="2">
        <f>Q16-Z16</f>
        <v>-44992</v>
      </c>
      <c r="AD16">
        <v>121</v>
      </c>
      <c r="AE16" s="2">
        <f t="shared" ref="AE16:AE17" si="57">Z16/AD16</f>
        <v>2032.297520661157</v>
      </c>
      <c r="AF16" s="2">
        <f t="shared" ref="AF16:AF17" si="58">AA16/AD16</f>
        <v>10150.677685950413</v>
      </c>
      <c r="AG16" s="2">
        <v>242990</v>
      </c>
      <c r="AH16" s="1">
        <v>123</v>
      </c>
      <c r="AI16" s="2">
        <v>1348497.2660000001</v>
      </c>
      <c r="AJ16" s="2">
        <f t="shared" ref="AJ16:AJ17" si="59">AG16/AH16</f>
        <v>1975.5284552845528</v>
      </c>
      <c r="AK16" s="5">
        <f t="shared" ref="AK16:AK17" si="60">AG16/AI16</f>
        <v>0.18019317215286071</v>
      </c>
      <c r="AL16" s="2">
        <v>42208.44</v>
      </c>
      <c r="AM16" s="2">
        <v>3440.7</v>
      </c>
      <c r="AN16" s="2">
        <v>28198.5</v>
      </c>
      <c r="AO16" s="2">
        <v>0</v>
      </c>
      <c r="AP16" s="2">
        <v>0</v>
      </c>
      <c r="AQ16" s="2">
        <f t="shared" si="6"/>
        <v>73847.64</v>
      </c>
      <c r="AR16" s="2">
        <f t="shared" si="30"/>
        <v>73847.64</v>
      </c>
      <c r="AS16" s="2">
        <v>0</v>
      </c>
      <c r="AT16" s="1">
        <v>52</v>
      </c>
      <c r="AU16" s="2">
        <v>775686</v>
      </c>
      <c r="AV16" s="2">
        <f t="shared" si="12"/>
        <v>775686</v>
      </c>
      <c r="AW16" s="2">
        <f t="shared" si="7"/>
        <v>1420.146923076923</v>
      </c>
      <c r="AX16" s="5">
        <f t="shared" si="8"/>
        <v>9.5203007402479875E-2</v>
      </c>
      <c r="AY16" s="5">
        <f t="shared" si="48"/>
        <v>9.7626346512223641E-2</v>
      </c>
      <c r="AZ16" s="2">
        <f t="shared" si="13"/>
        <v>811.70076923076931</v>
      </c>
      <c r="BA16" s="5">
        <f t="shared" si="14"/>
        <v>5.4414337760382424E-2</v>
      </c>
      <c r="BB16" s="2">
        <f t="shared" si="15"/>
        <v>608.44615384615383</v>
      </c>
      <c r="BC16" s="5">
        <f t="shared" si="16"/>
        <v>4.0788669642097444E-2</v>
      </c>
      <c r="BD16" s="5"/>
      <c r="BE16" s="5"/>
      <c r="BF16" s="2">
        <v>22000</v>
      </c>
      <c r="BG16" s="2">
        <v>0</v>
      </c>
      <c r="BH16" s="2">
        <v>0</v>
      </c>
      <c r="BI16" s="2">
        <v>27787.21</v>
      </c>
      <c r="BJ16" s="2">
        <v>16934.88</v>
      </c>
      <c r="BK16" s="2">
        <f t="shared" si="17"/>
        <v>66722.09</v>
      </c>
      <c r="BL16" s="2">
        <v>66722.09</v>
      </c>
      <c r="BM16" s="1">
        <v>59</v>
      </c>
      <c r="BN16" s="2">
        <v>683443.4800000001</v>
      </c>
      <c r="BO16" s="2">
        <f t="shared" si="53"/>
        <v>1130.8828813559321</v>
      </c>
      <c r="BP16" s="5">
        <f t="shared" si="54"/>
        <v>9.7626346512223641E-2</v>
      </c>
      <c r="BQ16" s="2">
        <f t="shared" si="18"/>
        <v>372.88135593220341</v>
      </c>
      <c r="BR16" s="5">
        <f t="shared" si="19"/>
        <v>3.2189933248028053E-2</v>
      </c>
      <c r="BS16" s="2">
        <f t="shared" si="20"/>
        <v>758.00152542372871</v>
      </c>
      <c r="BT16" s="5">
        <f t="shared" si="21"/>
        <v>6.5436413264195581E-2</v>
      </c>
      <c r="BV16" s="5"/>
      <c r="BW16" t="s">
        <v>258</v>
      </c>
    </row>
    <row r="17" spans="1:75">
      <c r="A17" s="11" t="s">
        <v>225</v>
      </c>
      <c r="B17" s="12"/>
      <c r="C17" s="12"/>
      <c r="D17" s="12"/>
      <c r="E17" s="12"/>
      <c r="F17" s="12">
        <f t="shared" ref="F17:G17" si="61">(F16-E16)/E16</f>
        <v>-3.3869473515011732E-2</v>
      </c>
      <c r="G17" s="12">
        <f t="shared" si="61"/>
        <v>2.8585302983636724E-2</v>
      </c>
      <c r="H17" s="12">
        <f t="shared" ref="H17" si="62">(H16-G16)/G16</f>
        <v>-1.1018625582899221E-2</v>
      </c>
      <c r="I17" s="12">
        <f t="shared" ref="I17" si="63">(I16-H16)/H16</f>
        <v>-1.0516935491299364E-2</v>
      </c>
      <c r="J17" s="12"/>
      <c r="K17" s="41">
        <f>AVERAGE(F17:I17)</f>
        <v>-6.7049329013933985E-3</v>
      </c>
      <c r="M17" s="2" t="s">
        <v>252</v>
      </c>
      <c r="N17" s="2">
        <v>146326</v>
      </c>
      <c r="O17" s="2">
        <v>99327</v>
      </c>
      <c r="P17" s="2">
        <f>106246+24212+77759</f>
        <v>208217</v>
      </c>
      <c r="Q17" s="2">
        <f t="shared" ref="Q17" si="64">SUM(N17:P17)</f>
        <v>453870</v>
      </c>
      <c r="S17" s="2">
        <f>9755755+P17</f>
        <v>9963972</v>
      </c>
      <c r="T17" s="5">
        <f t="shared" ref="T17" si="65">Q17/S17</f>
        <v>4.5551111544673145E-2</v>
      </c>
      <c r="U17" s="2">
        <f t="shared" si="55"/>
        <v>501.51381215469615</v>
      </c>
      <c r="V17" s="13">
        <v>80</v>
      </c>
      <c r="W17" s="2" t="s">
        <v>253</v>
      </c>
      <c r="X17" s="5" t="s">
        <v>243</v>
      </c>
      <c r="Y17" s="2">
        <f t="shared" si="56"/>
        <v>11009.913812154697</v>
      </c>
      <c r="Z17" s="2">
        <f>679966+141371</f>
        <v>821337</v>
      </c>
      <c r="AA17" s="2">
        <v>9029037</v>
      </c>
      <c r="AB17" s="5">
        <f t="shared" ref="AB17" si="66">Z17/AA17</f>
        <v>9.0966179449702117E-2</v>
      </c>
      <c r="AC17" s="2">
        <f t="shared" ref="AC17" si="67">Q17-Z17</f>
        <v>-367467</v>
      </c>
      <c r="AD17">
        <v>905</v>
      </c>
      <c r="AE17" s="2">
        <f t="shared" si="57"/>
        <v>907.55469613259663</v>
      </c>
      <c r="AF17" s="2">
        <f t="shared" si="58"/>
        <v>9976.8364640883974</v>
      </c>
      <c r="AG17" s="2">
        <v>959651</v>
      </c>
      <c r="AH17" s="1">
        <v>903</v>
      </c>
      <c r="AI17" s="2">
        <v>9080753</v>
      </c>
      <c r="AJ17" s="2">
        <f t="shared" si="59"/>
        <v>1062.7364341085272</v>
      </c>
      <c r="AK17" s="5">
        <f t="shared" si="60"/>
        <v>0.10567967215934626</v>
      </c>
      <c r="AL17" s="2">
        <v>0</v>
      </c>
      <c r="AM17" s="2">
        <v>142534</v>
      </c>
      <c r="AN17" s="2">
        <v>414313</v>
      </c>
      <c r="AO17" s="2">
        <v>160127.4</v>
      </c>
      <c r="AP17" s="2">
        <v>105091.28</v>
      </c>
      <c r="AQ17" s="2">
        <f t="shared" ref="AQ17" si="68">SUM(AL17:AP17)</f>
        <v>822065.68</v>
      </c>
      <c r="AR17" s="2">
        <f t="shared" ref="AR17" si="69">AQ17</f>
        <v>822065.68</v>
      </c>
      <c r="AS17" s="2">
        <v>600339</v>
      </c>
      <c r="AT17" s="1">
        <v>911</v>
      </c>
      <c r="AU17" s="2">
        <v>15317690</v>
      </c>
      <c r="AV17" s="2">
        <f t="shared" ref="AV17" si="70">AU17-AS17+AO17+AP17</f>
        <v>14982569.68</v>
      </c>
      <c r="AW17" s="2">
        <f t="shared" ref="AW17" si="71">AR17/AT17</f>
        <v>902.37725576289802</v>
      </c>
      <c r="AX17" s="166">
        <f t="shared" ref="AX17" si="72">AR17/AV17</f>
        <v>5.4868136611929984E-2</v>
      </c>
      <c r="AY17" s="5">
        <f t="shared" ref="AY17" si="73">BP17</f>
        <v>0.11303053344651726</v>
      </c>
      <c r="AZ17" s="2">
        <f t="shared" si="13"/>
        <v>291.12917672886937</v>
      </c>
      <c r="BA17" s="5">
        <f t="shared" si="14"/>
        <v>1.7701815220257999E-2</v>
      </c>
      <c r="BB17" s="2">
        <f t="shared" si="15"/>
        <v>611.24807903402859</v>
      </c>
      <c r="BC17" s="5">
        <f t="shared" si="16"/>
        <v>3.7166321391671982E-2</v>
      </c>
      <c r="BD17" s="5" t="s">
        <v>254</v>
      </c>
      <c r="BE17" s="5"/>
      <c r="BF17" s="2">
        <v>0</v>
      </c>
      <c r="BG17" s="2">
        <v>135002</v>
      </c>
      <c r="BH17" s="2">
        <v>106410</v>
      </c>
      <c r="BI17" s="2">
        <v>107789</v>
      </c>
      <c r="BJ17" s="2">
        <v>385165</v>
      </c>
      <c r="BK17" s="2">
        <f t="shared" ref="BK17" si="74">SUM(BF17:BJ17)</f>
        <v>734366</v>
      </c>
      <c r="BL17" s="2">
        <v>1134061</v>
      </c>
      <c r="BM17" s="1">
        <v>919</v>
      </c>
      <c r="BN17" s="2">
        <v>10033227</v>
      </c>
      <c r="BO17" s="2">
        <f t="shared" ref="BO17" si="75">BL17/BM17</f>
        <v>1234.0163220892275</v>
      </c>
      <c r="BP17" s="5">
        <f t="shared" ref="BP17" si="76">BL17/BN17</f>
        <v>0.11303053344651726</v>
      </c>
      <c r="BV17" s="5"/>
    </row>
    <row r="18" spans="1:75">
      <c r="A18" s="11"/>
      <c r="B18" s="11"/>
      <c r="C18" s="11"/>
      <c r="D18" s="11"/>
      <c r="E18" s="11"/>
      <c r="F18" s="11"/>
      <c r="G18" s="11"/>
      <c r="H18" s="11"/>
      <c r="I18" s="11"/>
      <c r="J18" s="11"/>
      <c r="K18" s="11"/>
      <c r="T18" s="5"/>
      <c r="X18" s="5"/>
      <c r="AB18" s="5"/>
      <c r="AC18" s="2"/>
      <c r="AE18" s="2"/>
      <c r="AF18" s="2"/>
      <c r="AJ18" s="2"/>
      <c r="AK18" s="5"/>
      <c r="AW18" s="2"/>
      <c r="AX18" s="5"/>
      <c r="AY18" s="5"/>
      <c r="BD18" s="5"/>
      <c r="BE18" s="5"/>
      <c r="BO18" s="2"/>
      <c r="BP18" s="5"/>
      <c r="BV18" s="5"/>
    </row>
    <row r="19" spans="1:75">
      <c r="A19" s="11" t="s">
        <v>85</v>
      </c>
      <c r="B19" s="21">
        <v>11164</v>
      </c>
      <c r="C19" s="21">
        <v>11603</v>
      </c>
      <c r="D19" s="21">
        <v>11953</v>
      </c>
      <c r="E19" s="21">
        <v>12472</v>
      </c>
      <c r="F19" s="21">
        <v>12692</v>
      </c>
      <c r="G19" s="163">
        <f>F19</f>
        <v>12692</v>
      </c>
      <c r="H19" s="163">
        <f t="shared" ref="H19:J19" si="77">G19</f>
        <v>12692</v>
      </c>
      <c r="I19" s="163">
        <f t="shared" si="77"/>
        <v>12692</v>
      </c>
      <c r="J19" s="163">
        <f t="shared" si="77"/>
        <v>12692</v>
      </c>
      <c r="K19" s="11"/>
      <c r="M19" s="2" t="s">
        <v>259</v>
      </c>
      <c r="N19" s="2">
        <v>468306</v>
      </c>
      <c r="O19" s="2">
        <v>97816</v>
      </c>
      <c r="P19" s="2">
        <v>0</v>
      </c>
      <c r="Q19" s="2">
        <f t="shared" si="25"/>
        <v>566122</v>
      </c>
      <c r="R19" s="2">
        <v>331981</v>
      </c>
      <c r="S19" s="2">
        <f>2434969</f>
        <v>2434969</v>
      </c>
      <c r="T19" s="5">
        <f t="shared" si="26"/>
        <v>0.23249659441249559</v>
      </c>
      <c r="U19" s="2">
        <f t="shared" si="22"/>
        <v>1791.5253164556962</v>
      </c>
      <c r="V19" s="13">
        <v>91</v>
      </c>
      <c r="W19" s="2" t="s">
        <v>231</v>
      </c>
      <c r="X19" s="5"/>
      <c r="Y19" s="2">
        <f t="shared" si="23"/>
        <v>7705.5981012658231</v>
      </c>
      <c r="Z19" s="2">
        <v>292725</v>
      </c>
      <c r="AA19" s="2">
        <v>2950955</v>
      </c>
      <c r="AB19" s="5">
        <f t="shared" si="27"/>
        <v>9.9196700729086013E-2</v>
      </c>
      <c r="AC19" s="2">
        <f t="shared" si="28"/>
        <v>273397</v>
      </c>
      <c r="AD19">
        <v>316</v>
      </c>
      <c r="AE19" s="2">
        <f t="shared" si="29"/>
        <v>926.34493670886081</v>
      </c>
      <c r="AF19" s="2">
        <f t="shared" si="24"/>
        <v>9338.4651898734173</v>
      </c>
      <c r="AG19" s="2">
        <v>495688.63</v>
      </c>
      <c r="AH19" s="1">
        <v>251</v>
      </c>
      <c r="AI19" s="2">
        <v>2194576.0699999998</v>
      </c>
      <c r="AJ19" s="2">
        <f t="shared" si="10"/>
        <v>1974.8550996015936</v>
      </c>
      <c r="AK19" s="5">
        <f t="shared" si="11"/>
        <v>0.22586987836789821</v>
      </c>
      <c r="AL19" s="2">
        <v>645253</v>
      </c>
      <c r="AM19" s="2">
        <v>146173</v>
      </c>
      <c r="AN19" s="2">
        <v>399334</v>
      </c>
      <c r="AO19" s="2">
        <v>0</v>
      </c>
      <c r="AP19" s="2">
        <v>0</v>
      </c>
      <c r="AQ19" s="2">
        <f t="shared" si="6"/>
        <v>1190760</v>
      </c>
      <c r="AR19" s="2">
        <f t="shared" si="30"/>
        <v>1190760</v>
      </c>
      <c r="AS19" s="2">
        <v>0</v>
      </c>
      <c r="AT19" s="1">
        <v>365</v>
      </c>
      <c r="AU19" s="2">
        <v>4794715</v>
      </c>
      <c r="AV19" s="2">
        <f t="shared" si="12"/>
        <v>4794715</v>
      </c>
      <c r="AW19" s="2">
        <f t="shared" si="7"/>
        <v>3262.3561643835615</v>
      </c>
      <c r="AX19" s="5">
        <f t="shared" si="8"/>
        <v>0.24834844198247447</v>
      </c>
      <c r="AY19" s="5">
        <f t="shared" si="48"/>
        <v>0.23226035695925076</v>
      </c>
      <c r="AZ19" s="2">
        <f t="shared" si="13"/>
        <v>1767.8164383561643</v>
      </c>
      <c r="BA19" s="5">
        <f t="shared" si="14"/>
        <v>0.13457588198672915</v>
      </c>
      <c r="BB19" s="2">
        <f t="shared" si="15"/>
        <v>1494.5397260273974</v>
      </c>
      <c r="BC19" s="5">
        <f t="shared" si="16"/>
        <v>0.11377255999574531</v>
      </c>
      <c r="BD19" s="5"/>
      <c r="BE19" s="5"/>
      <c r="BF19" s="2">
        <v>446899</v>
      </c>
      <c r="BG19" s="2">
        <v>0</v>
      </c>
      <c r="BH19" s="2">
        <v>0</v>
      </c>
      <c r="BI19" s="2">
        <v>121390</v>
      </c>
      <c r="BJ19" s="2">
        <v>116997</v>
      </c>
      <c r="BK19" s="2">
        <f t="shared" si="17"/>
        <v>685286</v>
      </c>
      <c r="BL19" s="2">
        <v>685285.96000000008</v>
      </c>
      <c r="BM19" s="1">
        <v>316</v>
      </c>
      <c r="BN19" s="2">
        <v>2950507.65</v>
      </c>
      <c r="BO19" s="2">
        <f t="shared" si="53"/>
        <v>2168.6264556962028</v>
      </c>
      <c r="BP19" s="5">
        <f t="shared" si="54"/>
        <v>0.23226035695925076</v>
      </c>
      <c r="BQ19" s="2">
        <f t="shared" si="18"/>
        <v>1414.2373417721519</v>
      </c>
      <c r="BR19" s="5">
        <f t="shared" si="19"/>
        <v>0.15146512160373488</v>
      </c>
      <c r="BS19" s="2">
        <f t="shared" si="20"/>
        <v>754.38924050632909</v>
      </c>
      <c r="BT19" s="5">
        <f t="shared" si="21"/>
        <v>8.0795248912504947E-2</v>
      </c>
      <c r="BU19" s="1">
        <v>470</v>
      </c>
      <c r="BV19" s="5">
        <f>(BU19-BM19)/BM19/5</f>
        <v>9.7468354430379739E-2</v>
      </c>
    </row>
    <row r="20" spans="1:75">
      <c r="A20" s="11" t="s">
        <v>225</v>
      </c>
      <c r="B20" s="11"/>
      <c r="C20" s="12">
        <f>(C19-B19)/B19</f>
        <v>3.9322823360802582E-2</v>
      </c>
      <c r="D20" s="12">
        <f>(D19-C19)/C19</f>
        <v>3.0164612600189607E-2</v>
      </c>
      <c r="E20" s="12">
        <f>(E19-D19)/D19</f>
        <v>4.3420061909144145E-2</v>
      </c>
      <c r="F20" s="12">
        <f>(F19-E19)/E19</f>
        <v>1.7639512508017961E-2</v>
      </c>
      <c r="G20" s="12">
        <f t="shared" ref="G20" si="78">(G19-F19)/F19</f>
        <v>0</v>
      </c>
      <c r="H20" s="12">
        <f t="shared" ref="H20" si="79">(H19-G19)/G19</f>
        <v>0</v>
      </c>
      <c r="I20" s="12">
        <f t="shared" ref="I20" si="80">(I19-H19)/H19</f>
        <v>0</v>
      </c>
      <c r="J20" s="12">
        <f t="shared" ref="J20" si="81">(J19-I19)/I19</f>
        <v>0</v>
      </c>
      <c r="K20" s="41">
        <f>AVERAGE(F20:J20)</f>
        <v>3.5279025016035923E-3</v>
      </c>
      <c r="M20" s="2" t="s">
        <v>260</v>
      </c>
      <c r="N20" s="2">
        <v>150592</v>
      </c>
      <c r="O20" s="2">
        <v>50324</v>
      </c>
      <c r="P20" s="2">
        <v>0</v>
      </c>
      <c r="Q20" s="2">
        <f>SUM(N20:P20)</f>
        <v>200916</v>
      </c>
      <c r="S20" s="2">
        <v>1309771</v>
      </c>
      <c r="T20" s="5">
        <f>Q20/S20</f>
        <v>0.15339780770837039</v>
      </c>
      <c r="U20" s="2">
        <f t="shared" si="22"/>
        <v>1660.4628099173553</v>
      </c>
      <c r="V20" s="13">
        <v>96</v>
      </c>
      <c r="W20" s="2" t="s">
        <v>234</v>
      </c>
      <c r="X20" s="5"/>
      <c r="Y20" s="2">
        <f t="shared" si="23"/>
        <v>10824.553719008265</v>
      </c>
      <c r="Z20" s="2">
        <v>245908</v>
      </c>
      <c r="AA20" s="2">
        <v>1228232</v>
      </c>
      <c r="AB20" s="5">
        <f>Z20/AA20</f>
        <v>0.20021298907698221</v>
      </c>
      <c r="AC20" s="2">
        <f>Q20-Z20</f>
        <v>-44992</v>
      </c>
      <c r="AD20">
        <v>121</v>
      </c>
      <c r="AE20" s="2">
        <f t="shared" si="29"/>
        <v>2032.297520661157</v>
      </c>
      <c r="AF20" s="2">
        <f t="shared" si="24"/>
        <v>10150.677685950413</v>
      </c>
      <c r="AG20" s="2">
        <v>242990</v>
      </c>
      <c r="AH20" s="1">
        <v>123</v>
      </c>
      <c r="AI20" s="2">
        <v>1348497.2660000001</v>
      </c>
      <c r="AJ20" s="2">
        <f t="shared" si="10"/>
        <v>1975.5284552845528</v>
      </c>
      <c r="AK20" s="5">
        <f t="shared" si="11"/>
        <v>0.18019317215286071</v>
      </c>
      <c r="AL20" s="2">
        <v>193084</v>
      </c>
      <c r="AM20" s="2">
        <v>112896</v>
      </c>
      <c r="AN20" s="2">
        <v>138178</v>
      </c>
      <c r="AO20" s="2">
        <v>0</v>
      </c>
      <c r="AP20" s="2">
        <v>0</v>
      </c>
      <c r="AQ20" s="2">
        <f t="shared" si="6"/>
        <v>444158</v>
      </c>
      <c r="AR20" s="2">
        <f t="shared" si="30"/>
        <v>444158</v>
      </c>
      <c r="AS20" s="2">
        <v>139893</v>
      </c>
      <c r="AT20" s="1">
        <v>384</v>
      </c>
      <c r="AU20" s="2">
        <v>4634838</v>
      </c>
      <c r="AV20" s="2">
        <f t="shared" si="12"/>
        <v>4494945</v>
      </c>
      <c r="AW20" s="2">
        <f t="shared" si="7"/>
        <v>1156.6614583333333</v>
      </c>
      <c r="AX20" s="5">
        <f t="shared" si="8"/>
        <v>9.8812777464462861E-2</v>
      </c>
      <c r="AY20" s="5">
        <f t="shared" si="48"/>
        <v>0.13420225427339544</v>
      </c>
      <c r="AZ20" s="2">
        <f t="shared" si="13"/>
        <v>502.82291666666669</v>
      </c>
      <c r="BA20" s="5">
        <f t="shared" si="14"/>
        <v>4.295580924794408E-2</v>
      </c>
      <c r="BB20" s="2">
        <f t="shared" si="15"/>
        <v>653.83854166666663</v>
      </c>
      <c r="BC20" s="5">
        <f t="shared" si="16"/>
        <v>5.5856968216518775E-2</v>
      </c>
      <c r="BD20" s="5"/>
      <c r="BE20" s="5"/>
      <c r="BF20" s="2">
        <v>180455</v>
      </c>
      <c r="BG20" s="2">
        <v>0</v>
      </c>
      <c r="BH20" s="2">
        <v>0</v>
      </c>
      <c r="BI20" s="2">
        <v>109283</v>
      </c>
      <c r="BJ20" s="2">
        <v>95301</v>
      </c>
      <c r="BK20" s="2">
        <f t="shared" si="17"/>
        <v>385039</v>
      </c>
      <c r="BL20" s="2">
        <v>385038.39</v>
      </c>
      <c r="BM20" s="1">
        <v>331</v>
      </c>
      <c r="BN20" s="2">
        <v>2869090.33</v>
      </c>
      <c r="BO20" s="2">
        <f t="shared" si="53"/>
        <v>1163.2579758308157</v>
      </c>
      <c r="BP20" s="5">
        <f t="shared" si="54"/>
        <v>0.13420225427339544</v>
      </c>
      <c r="BQ20" s="2">
        <f t="shared" si="18"/>
        <v>545.18126888217523</v>
      </c>
      <c r="BR20" s="5">
        <f t="shared" si="19"/>
        <v>6.289624209914646E-2</v>
      </c>
      <c r="BS20" s="2">
        <f t="shared" si="20"/>
        <v>618.07854984894254</v>
      </c>
      <c r="BT20" s="5">
        <f t="shared" si="21"/>
        <v>7.130622478519176E-2</v>
      </c>
      <c r="BV20" s="5"/>
    </row>
    <row r="21" spans="1:75">
      <c r="A21" s="11"/>
      <c r="B21" s="11"/>
      <c r="C21" s="12"/>
      <c r="D21" s="12"/>
      <c r="E21" s="12"/>
      <c r="F21" s="12"/>
      <c r="G21" s="12"/>
      <c r="H21" s="12"/>
      <c r="I21" s="12"/>
      <c r="J21" s="12"/>
      <c r="K21" s="12"/>
      <c r="M21" s="2" t="s">
        <v>261</v>
      </c>
      <c r="N21" s="2">
        <v>436074</v>
      </c>
      <c r="O21" s="2">
        <v>52074</v>
      </c>
      <c r="P21" s="2">
        <v>0</v>
      </c>
      <c r="Q21" s="2">
        <f t="shared" si="25"/>
        <v>488148</v>
      </c>
      <c r="S21" s="2">
        <v>5355041</v>
      </c>
      <c r="T21" s="5">
        <f t="shared" si="26"/>
        <v>9.1156725037212602E-2</v>
      </c>
      <c r="U21" s="2">
        <f t="shared" si="22"/>
        <v>924.52272727272725</v>
      </c>
      <c r="V21" s="13">
        <v>101</v>
      </c>
      <c r="W21" s="2" t="s">
        <v>231</v>
      </c>
      <c r="X21" s="5"/>
      <c r="Y21" s="2">
        <f t="shared" si="23"/>
        <v>10142.123106060606</v>
      </c>
      <c r="Z21" s="2">
        <v>924672</v>
      </c>
      <c r="AA21" s="2">
        <v>5965064</v>
      </c>
      <c r="AB21" s="5">
        <f t="shared" si="27"/>
        <v>0.15501459833456943</v>
      </c>
      <c r="AC21" s="2">
        <f t="shared" si="28"/>
        <v>-436524</v>
      </c>
      <c r="AD21">
        <v>528</v>
      </c>
      <c r="AE21" s="2">
        <f t="shared" si="29"/>
        <v>1751.2727272727273</v>
      </c>
      <c r="AF21" s="2">
        <f t="shared" si="24"/>
        <v>11297.469696969696</v>
      </c>
      <c r="AG21" s="2">
        <v>458590</v>
      </c>
      <c r="AH21" s="1">
        <v>480</v>
      </c>
      <c r="AI21" s="2">
        <v>5292951</v>
      </c>
      <c r="AJ21" s="2">
        <f t="shared" si="10"/>
        <v>955.39583333333337</v>
      </c>
      <c r="AK21" s="5">
        <f t="shared" si="11"/>
        <v>8.6641648486827108E-2</v>
      </c>
      <c r="AL21" s="2">
        <v>679992</v>
      </c>
      <c r="AM21" s="2">
        <v>95896</v>
      </c>
      <c r="AN21" s="2">
        <v>108295</v>
      </c>
      <c r="AO21" s="2">
        <v>0</v>
      </c>
      <c r="AP21" s="2">
        <v>0</v>
      </c>
      <c r="AQ21" s="2">
        <f t="shared" si="6"/>
        <v>884183</v>
      </c>
      <c r="AR21" s="2">
        <f t="shared" si="30"/>
        <v>884183</v>
      </c>
      <c r="AS21" s="2">
        <v>630000</v>
      </c>
      <c r="AT21" s="1">
        <v>650</v>
      </c>
      <c r="AU21" s="2">
        <v>10987672</v>
      </c>
      <c r="AV21" s="2">
        <f t="shared" si="12"/>
        <v>10357672</v>
      </c>
      <c r="AW21" s="2">
        <f t="shared" si="7"/>
        <v>1360.2815384615385</v>
      </c>
      <c r="AX21" s="5">
        <f t="shared" si="8"/>
        <v>8.5365031833408128E-2</v>
      </c>
      <c r="AY21" s="5">
        <f t="shared" si="48"/>
        <v>9.5712498741554575E-2</v>
      </c>
      <c r="AZ21" s="2">
        <f t="shared" si="13"/>
        <v>1046.1415384615384</v>
      </c>
      <c r="BA21" s="5">
        <f t="shared" si="14"/>
        <v>6.5651045910702713E-2</v>
      </c>
      <c r="BB21" s="2">
        <f t="shared" si="15"/>
        <v>314.14</v>
      </c>
      <c r="BC21" s="5">
        <f t="shared" si="16"/>
        <v>1.9713985922705412E-2</v>
      </c>
      <c r="BD21" s="5"/>
      <c r="BE21" s="5"/>
      <c r="BF21" s="2">
        <v>417795</v>
      </c>
      <c r="BG21" s="2">
        <v>0</v>
      </c>
      <c r="BH21" s="2">
        <v>0</v>
      </c>
      <c r="BI21" s="2">
        <v>66090</v>
      </c>
      <c r="BJ21" s="2">
        <v>39752</v>
      </c>
      <c r="BK21" s="2">
        <f t="shared" si="17"/>
        <v>523637</v>
      </c>
      <c r="BL21" s="2">
        <v>523637</v>
      </c>
      <c r="BM21" s="1">
        <v>523</v>
      </c>
      <c r="BN21" s="2">
        <v>5470936.4699999997</v>
      </c>
      <c r="BO21" s="2">
        <f t="shared" si="53"/>
        <v>1001.2179732313575</v>
      </c>
      <c r="BP21" s="5">
        <f t="shared" si="54"/>
        <v>9.5712498741554575E-2</v>
      </c>
      <c r="BQ21" s="2">
        <f t="shared" si="18"/>
        <v>798.84321223709367</v>
      </c>
      <c r="BR21" s="5">
        <f t="shared" si="19"/>
        <v>7.6366267875890723E-2</v>
      </c>
      <c r="BS21" s="2">
        <f t="shared" si="20"/>
        <v>202.37476099426385</v>
      </c>
      <c r="BT21" s="5">
        <f t="shared" si="21"/>
        <v>1.9346230865663845E-2</v>
      </c>
      <c r="BU21" s="1">
        <v>560</v>
      </c>
      <c r="BV21" s="5">
        <f>(BU21-BM21)/BM21/5</f>
        <v>1.4149139579349903E-2</v>
      </c>
      <c r="BW21" t="s">
        <v>262</v>
      </c>
    </row>
    <row r="22" spans="1:75">
      <c r="A22" s="11" t="s">
        <v>85</v>
      </c>
      <c r="B22" s="21">
        <v>5900</v>
      </c>
      <c r="C22" s="21">
        <v>6000</v>
      </c>
      <c r="D22" s="21">
        <v>6010</v>
      </c>
      <c r="E22" s="21">
        <v>6020</v>
      </c>
      <c r="F22" s="21"/>
      <c r="G22" s="21"/>
      <c r="H22" s="21"/>
      <c r="I22" s="21"/>
      <c r="J22" s="21"/>
      <c r="K22" s="11"/>
      <c r="M22" s="2" t="s">
        <v>263</v>
      </c>
      <c r="N22" s="2">
        <v>106749</v>
      </c>
      <c r="O22" s="2">
        <v>0</v>
      </c>
      <c r="P22" s="2">
        <v>0</v>
      </c>
      <c r="Q22" s="2">
        <f t="shared" si="25"/>
        <v>106749</v>
      </c>
      <c r="S22" s="2">
        <v>769795</v>
      </c>
      <c r="T22" s="5">
        <f t="shared" si="26"/>
        <v>0.13867198409966289</v>
      </c>
      <c r="U22" s="2">
        <f t="shared" si="22"/>
        <v>1524.9857142857143</v>
      </c>
      <c r="V22" s="13">
        <v>110</v>
      </c>
      <c r="W22" s="2" t="s">
        <v>234</v>
      </c>
      <c r="X22" s="5"/>
      <c r="Y22" s="2">
        <f t="shared" si="23"/>
        <v>10997.071428571429</v>
      </c>
      <c r="AB22" s="5"/>
      <c r="AC22" s="2"/>
      <c r="AD22">
        <v>70</v>
      </c>
      <c r="AE22" s="2"/>
      <c r="AF22" s="2"/>
      <c r="AG22" s="2">
        <v>106749</v>
      </c>
      <c r="AH22" s="1">
        <v>70</v>
      </c>
      <c r="AI22" s="2">
        <v>853281.37599999993</v>
      </c>
      <c r="AJ22" s="2">
        <f t="shared" si="10"/>
        <v>1524.9857142857143</v>
      </c>
      <c r="AK22" s="5">
        <f t="shared" si="11"/>
        <v>0.12510410165098929</v>
      </c>
      <c r="AL22" s="2">
        <f>183917*1.03</f>
        <v>189434.51</v>
      </c>
      <c r="AM22" s="2">
        <f>510*1.03</f>
        <v>525.30000000000007</v>
      </c>
      <c r="AN22" s="2">
        <f>78666*1.03</f>
        <v>81025.98</v>
      </c>
      <c r="AO22" s="2">
        <f>133000*1.03</f>
        <v>136990</v>
      </c>
      <c r="AP22" s="2">
        <f>140000*1.03</f>
        <v>144200</v>
      </c>
      <c r="AQ22" s="2">
        <f t="shared" si="6"/>
        <v>552175.79</v>
      </c>
      <c r="AR22" s="2">
        <f t="shared" si="30"/>
        <v>552175.79</v>
      </c>
      <c r="AS22" s="2">
        <f>693925*1.03</f>
        <v>714742.75</v>
      </c>
      <c r="AT22" s="1">
        <v>180</v>
      </c>
      <c r="AU22" s="2">
        <f>2291289*1.03</f>
        <v>2360027.67</v>
      </c>
      <c r="AV22" s="2">
        <f t="shared" si="12"/>
        <v>1926474.92</v>
      </c>
      <c r="AW22" s="2">
        <f t="shared" si="7"/>
        <v>3067.6432777777782</v>
      </c>
      <c r="AX22" s="5">
        <f t="shared" si="8"/>
        <v>0.28662495642559421</v>
      </c>
      <c r="AY22" s="5">
        <f t="shared" si="48"/>
        <v>0.18490791932012313</v>
      </c>
      <c r="AZ22" s="2">
        <f t="shared" si="13"/>
        <v>2614.580611111111</v>
      </c>
      <c r="BA22" s="5">
        <f t="shared" si="14"/>
        <v>0.24429308947349287</v>
      </c>
      <c r="BB22" s="2">
        <f t="shared" si="15"/>
        <v>453.06266666666664</v>
      </c>
      <c r="BC22" s="5">
        <f t="shared" si="16"/>
        <v>4.2331866952101303E-2</v>
      </c>
      <c r="BD22" s="5" t="s">
        <v>264</v>
      </c>
      <c r="BE22" s="5"/>
      <c r="BF22" s="2">
        <v>130432</v>
      </c>
      <c r="BG22" s="2">
        <v>100090</v>
      </c>
      <c r="BH22" s="2">
        <v>0</v>
      </c>
      <c r="BI22" s="2">
        <v>0</v>
      </c>
      <c r="BJ22" s="2">
        <v>53002</v>
      </c>
      <c r="BK22" s="2">
        <f t="shared" si="17"/>
        <v>283524</v>
      </c>
      <c r="BL22" s="2">
        <v>283524.32</v>
      </c>
      <c r="BM22" s="1">
        <v>145</v>
      </c>
      <c r="BN22" s="2">
        <v>1533327.08</v>
      </c>
      <c r="BO22" s="2">
        <f t="shared" si="53"/>
        <v>1955.3401379310346</v>
      </c>
      <c r="BP22" s="5">
        <f t="shared" si="54"/>
        <v>0.18490791932012313</v>
      </c>
      <c r="BQ22" s="2">
        <f t="shared" si="18"/>
        <v>1589.8068965517241</v>
      </c>
      <c r="BR22" s="5">
        <f t="shared" si="19"/>
        <v>0.15034104791262148</v>
      </c>
      <c r="BS22" s="2">
        <f t="shared" si="20"/>
        <v>365.53103448275863</v>
      </c>
      <c r="BT22" s="5">
        <f t="shared" si="21"/>
        <v>3.4566662710998355E-2</v>
      </c>
      <c r="BU22" s="1">
        <v>185</v>
      </c>
      <c r="BV22" s="5">
        <f>(BU22-BM22)/BM22/5</f>
        <v>5.5172413793103448E-2</v>
      </c>
    </row>
    <row r="23" spans="1:75">
      <c r="A23" s="11" t="s">
        <v>225</v>
      </c>
      <c r="B23" s="11"/>
      <c r="C23" s="12">
        <f>(C22-B22)/B22</f>
        <v>1.6949152542372881E-2</v>
      </c>
      <c r="D23" s="12">
        <f>(D22-C22)/C22</f>
        <v>1.6666666666666668E-3</v>
      </c>
      <c r="E23" s="12">
        <f>(E22-D22)/D22</f>
        <v>1.6638935108153079E-3</v>
      </c>
      <c r="F23" s="12"/>
      <c r="G23" s="12"/>
      <c r="H23" s="12"/>
      <c r="I23" s="12"/>
      <c r="J23" s="12"/>
      <c r="K23" s="12">
        <f>AVERAGE(C23:F23)</f>
        <v>6.7599042399516182E-3</v>
      </c>
      <c r="M23" s="2" t="s">
        <v>265</v>
      </c>
      <c r="N23" s="2">
        <v>349001</v>
      </c>
      <c r="O23" s="2">
        <v>62128</v>
      </c>
      <c r="P23" s="2">
        <v>108526</v>
      </c>
      <c r="Q23" s="2">
        <f t="shared" si="25"/>
        <v>519655</v>
      </c>
      <c r="R23" s="2">
        <v>-282007</v>
      </c>
      <c r="S23" s="2">
        <v>2890997</v>
      </c>
      <c r="T23" s="5">
        <f t="shared" si="26"/>
        <v>0.17974940824912652</v>
      </c>
      <c r="U23" s="2">
        <f t="shared" si="22"/>
        <v>1917.5461254612546</v>
      </c>
      <c r="V23" s="13">
        <v>120</v>
      </c>
      <c r="W23" s="2" t="s">
        <v>234</v>
      </c>
      <c r="X23" s="5"/>
      <c r="Y23" s="2">
        <f t="shared" si="23"/>
        <v>10667.885608856088</v>
      </c>
      <c r="Z23" s="2">
        <v>503278</v>
      </c>
      <c r="AA23" s="2">
        <v>2733160</v>
      </c>
      <c r="AB23" s="5">
        <f t="shared" si="27"/>
        <v>0.18413777459058378</v>
      </c>
      <c r="AC23" s="2">
        <f t="shared" si="28"/>
        <v>16377</v>
      </c>
      <c r="AD23">
        <v>271</v>
      </c>
      <c r="AE23" s="2">
        <f t="shared" si="29"/>
        <v>1857.1143911439115</v>
      </c>
      <c r="AF23" s="2">
        <f t="shared" si="24"/>
        <v>10085.461254612546</v>
      </c>
      <c r="AG23" s="2">
        <v>456899</v>
      </c>
      <c r="AH23" s="1">
        <v>210</v>
      </c>
      <c r="AI23" s="2">
        <v>2890997</v>
      </c>
      <c r="AJ23" s="2">
        <f t="shared" si="10"/>
        <v>2175.7095238095239</v>
      </c>
      <c r="AK23" s="5">
        <f t="shared" si="11"/>
        <v>0.158042018030458</v>
      </c>
      <c r="AL23" s="2">
        <v>150258</v>
      </c>
      <c r="AM23" s="2">
        <v>44177</v>
      </c>
      <c r="AN23" s="2">
        <v>39461</v>
      </c>
      <c r="AO23" s="2">
        <v>29004</v>
      </c>
      <c r="AP23" s="2">
        <v>3326</v>
      </c>
      <c r="AQ23" s="2">
        <f t="shared" si="6"/>
        <v>266226</v>
      </c>
      <c r="AR23" s="2">
        <f t="shared" si="30"/>
        <v>266226</v>
      </c>
      <c r="AS23" s="2">
        <v>0</v>
      </c>
      <c r="AT23" s="1">
        <v>153</v>
      </c>
      <c r="AU23" s="2">
        <v>2891212</v>
      </c>
      <c r="AV23" s="2">
        <f t="shared" si="12"/>
        <v>2923542</v>
      </c>
      <c r="AW23" s="2">
        <f t="shared" si="7"/>
        <v>1740.0392156862745</v>
      </c>
      <c r="AX23" s="166">
        <f t="shared" si="8"/>
        <v>9.1062827214385841E-2</v>
      </c>
      <c r="AY23" s="5">
        <f t="shared" ref="AY23:AY29" si="82">BP23</f>
        <v>0.21618264880566426</v>
      </c>
      <c r="AZ23" s="2">
        <f t="shared" si="13"/>
        <v>1193.3856209150326</v>
      </c>
      <c r="BA23" s="5">
        <f t="shared" si="14"/>
        <v>6.2454378969072445E-2</v>
      </c>
      <c r="BB23" s="2">
        <f t="shared" si="15"/>
        <v>546.65359477124184</v>
      </c>
      <c r="BC23" s="5">
        <f t="shared" si="16"/>
        <v>2.8608448245313389E-2</v>
      </c>
      <c r="BD23" s="5" t="s">
        <v>266</v>
      </c>
      <c r="BE23" s="5"/>
      <c r="BF23" s="2">
        <v>355470</v>
      </c>
      <c r="BG23" s="2">
        <v>0</v>
      </c>
      <c r="BH23" s="2">
        <v>124677</v>
      </c>
      <c r="BI23" s="2">
        <v>57739</v>
      </c>
      <c r="BJ23" s="2">
        <v>48376</v>
      </c>
      <c r="BK23" s="2">
        <f t="shared" si="17"/>
        <v>586262</v>
      </c>
      <c r="BL23" s="2">
        <v>586261.54</v>
      </c>
      <c r="BM23" s="1">
        <v>270</v>
      </c>
      <c r="BN23" s="2">
        <v>2711880.64</v>
      </c>
      <c r="BO23" s="2">
        <f t="shared" ref="BO23:BO29" si="83">BL23/BM23</f>
        <v>2171.3390370370371</v>
      </c>
      <c r="BP23" s="5">
        <f t="shared" ref="BP23:BP29" si="84">BL23/BN23</f>
        <v>0.21618264880566426</v>
      </c>
      <c r="BQ23" s="2">
        <f t="shared" si="18"/>
        <v>1778.3222222222223</v>
      </c>
      <c r="BR23" s="5">
        <f t="shared" si="19"/>
        <v>0.17705314640986558</v>
      </c>
      <c r="BS23" s="2">
        <f t="shared" si="20"/>
        <v>393.01851851851853</v>
      </c>
      <c r="BT23" s="5">
        <f t="shared" si="21"/>
        <v>3.912967201978329E-2</v>
      </c>
      <c r="BU23" s="1">
        <v>230</v>
      </c>
      <c r="BV23" s="5">
        <f>(BU23-BM23)/BM23/5</f>
        <v>-2.9629629629629627E-2</v>
      </c>
    </row>
    <row r="24" spans="1:75">
      <c r="C24" s="5"/>
      <c r="D24" s="5"/>
      <c r="E24" s="5"/>
      <c r="F24" s="5"/>
      <c r="G24" s="5"/>
      <c r="H24" s="5"/>
      <c r="I24" s="5"/>
      <c r="J24" s="5"/>
      <c r="K24" s="5"/>
      <c r="M24" s="2" t="s">
        <v>267</v>
      </c>
      <c r="N24" s="2">
        <v>150592</v>
      </c>
      <c r="O24" s="2">
        <v>50324</v>
      </c>
      <c r="P24" s="2">
        <v>0</v>
      </c>
      <c r="Q24" s="2">
        <f>SUM(N24:P24)</f>
        <v>200916</v>
      </c>
      <c r="S24" s="2">
        <v>1309771</v>
      </c>
      <c r="T24" s="5">
        <f>Q24/S24</f>
        <v>0.15339780770837039</v>
      </c>
      <c r="U24" s="2">
        <f t="shared" ref="U24" si="85">Q24/AD24</f>
        <v>1660.4628099173553</v>
      </c>
      <c r="V24" s="13">
        <v>125</v>
      </c>
      <c r="W24" s="2" t="s">
        <v>268</v>
      </c>
      <c r="X24" s="5"/>
      <c r="Y24" s="2">
        <f t="shared" ref="Y24" si="86">S24/AD24</f>
        <v>10824.553719008265</v>
      </c>
      <c r="Z24" s="2">
        <v>245908</v>
      </c>
      <c r="AA24" s="2">
        <v>1228232</v>
      </c>
      <c r="AB24" s="5">
        <f>Z24/AA24</f>
        <v>0.20021298907698221</v>
      </c>
      <c r="AC24" s="2">
        <f>Q24-Z24</f>
        <v>-44992</v>
      </c>
      <c r="AD24">
        <v>121</v>
      </c>
      <c r="AE24" s="2">
        <f t="shared" si="29"/>
        <v>2032.297520661157</v>
      </c>
      <c r="AF24" s="2">
        <f t="shared" si="24"/>
        <v>10150.677685950413</v>
      </c>
      <c r="AG24" s="2">
        <v>242990</v>
      </c>
      <c r="AH24" s="1">
        <v>123</v>
      </c>
      <c r="AI24" s="2">
        <v>1348497.2660000001</v>
      </c>
      <c r="AJ24" s="2">
        <f t="shared" ref="AJ24" si="87">AG24/AH24</f>
        <v>1975.5284552845528</v>
      </c>
      <c r="AK24" s="5">
        <f t="shared" ref="AK24" si="88">AG24/AI24</f>
        <v>0.18019317215286071</v>
      </c>
      <c r="AL24" s="2">
        <v>214229</v>
      </c>
      <c r="AM24" s="2">
        <v>23337</v>
      </c>
      <c r="AN24" s="2">
        <v>194214</v>
      </c>
      <c r="AO24" s="2">
        <v>2395</v>
      </c>
      <c r="AP24" s="2">
        <v>0</v>
      </c>
      <c r="AQ24" s="2">
        <f t="shared" si="6"/>
        <v>434175</v>
      </c>
      <c r="AR24" s="2">
        <f t="shared" si="30"/>
        <v>434175</v>
      </c>
      <c r="AS24" s="2">
        <v>0</v>
      </c>
      <c r="AT24" s="1">
        <v>235</v>
      </c>
      <c r="AU24" s="2">
        <v>2441053</v>
      </c>
      <c r="AV24" s="2">
        <f t="shared" si="12"/>
        <v>2443448</v>
      </c>
      <c r="AW24" s="2">
        <f t="shared" si="7"/>
        <v>1847.5531914893618</v>
      </c>
      <c r="AX24" s="5">
        <f t="shared" si="8"/>
        <v>0.17768947814727384</v>
      </c>
      <c r="AY24" s="5">
        <f t="shared" si="82"/>
        <v>0.18103676596497215</v>
      </c>
      <c r="AZ24" s="2">
        <f t="shared" si="13"/>
        <v>921.80425531914898</v>
      </c>
      <c r="BA24" s="5">
        <f t="shared" si="14"/>
        <v>8.865504811233961E-2</v>
      </c>
      <c r="BB24" s="2">
        <f t="shared" si="15"/>
        <v>925.7489361702128</v>
      </c>
      <c r="BC24" s="5">
        <f t="shared" si="16"/>
        <v>8.9034430034934234E-2</v>
      </c>
      <c r="BD24" s="5"/>
      <c r="BE24" s="5"/>
      <c r="BF24" s="2">
        <v>226632.6</v>
      </c>
      <c r="BG24" s="2">
        <v>0</v>
      </c>
      <c r="BH24" s="2">
        <v>0</v>
      </c>
      <c r="BI24" s="2">
        <v>47914.61</v>
      </c>
      <c r="BJ24" s="2">
        <v>138905.34</v>
      </c>
      <c r="BK24" s="2">
        <f t="shared" si="17"/>
        <v>413452.55000000005</v>
      </c>
      <c r="BL24" s="2">
        <v>413452.55000000005</v>
      </c>
      <c r="BM24" s="1">
        <v>245</v>
      </c>
      <c r="BN24" s="2">
        <v>2283804.33</v>
      </c>
      <c r="BO24" s="2">
        <f t="shared" si="83"/>
        <v>1687.5614285714287</v>
      </c>
      <c r="BP24" s="5">
        <f t="shared" si="84"/>
        <v>0.18103676596497215</v>
      </c>
      <c r="BQ24" s="2">
        <f t="shared" si="18"/>
        <v>925.03102040816327</v>
      </c>
      <c r="BR24" s="5">
        <f t="shared" si="19"/>
        <v>9.9234683559777645E-2</v>
      </c>
      <c r="BS24" s="2">
        <f t="shared" si="20"/>
        <v>762.53040816326541</v>
      </c>
      <c r="BT24" s="5">
        <f t="shared" si="21"/>
        <v>8.1802082405194501E-2</v>
      </c>
      <c r="BV24" s="5"/>
    </row>
    <row r="25" spans="1:75">
      <c r="A25" t="s">
        <v>269</v>
      </c>
      <c r="C25" s="2">
        <f>1076+1097+362</f>
        <v>2535</v>
      </c>
      <c r="D25" s="5"/>
      <c r="E25" s="5"/>
      <c r="F25" s="5"/>
      <c r="G25" s="2">
        <v>3016</v>
      </c>
      <c r="H25" s="2"/>
      <c r="I25" s="2"/>
      <c r="J25" s="2">
        <f>G25*(1+0.04)^3</f>
        <v>3392.5898240000001</v>
      </c>
      <c r="K25" s="5"/>
      <c r="M25" s="2" t="s">
        <v>270</v>
      </c>
      <c r="N25" s="2">
        <v>188412</v>
      </c>
      <c r="O25" s="2">
        <v>50643</v>
      </c>
      <c r="P25" s="2">
        <v>132558</v>
      </c>
      <c r="Q25" s="2">
        <f t="shared" si="25"/>
        <v>371613</v>
      </c>
      <c r="S25" s="2">
        <f>4221133+P25</f>
        <v>4353691</v>
      </c>
      <c r="T25" s="5">
        <f t="shared" si="26"/>
        <v>8.5355850932002292E-2</v>
      </c>
      <c r="U25" s="2">
        <f t="shared" si="22"/>
        <v>746.21084337349396</v>
      </c>
      <c r="V25" s="13">
        <v>130</v>
      </c>
      <c r="W25" s="2" t="s">
        <v>231</v>
      </c>
      <c r="X25" s="5" t="s">
        <v>243</v>
      </c>
      <c r="Y25" s="2">
        <f t="shared" si="23"/>
        <v>8742.3514056224903</v>
      </c>
      <c r="Z25" s="2">
        <v>265287</v>
      </c>
      <c r="AA25" s="2">
        <v>6060242</v>
      </c>
      <c r="AB25" s="5">
        <f t="shared" si="27"/>
        <v>4.3774984563322718E-2</v>
      </c>
      <c r="AC25" s="2">
        <f t="shared" si="28"/>
        <v>106326</v>
      </c>
      <c r="AD25">
        <v>498</v>
      </c>
      <c r="AE25" s="2">
        <f t="shared" si="29"/>
        <v>532.70481927710841</v>
      </c>
      <c r="AF25" s="2">
        <f t="shared" si="24"/>
        <v>12169.160642570281</v>
      </c>
      <c r="AG25" s="2">
        <v>540478.61</v>
      </c>
      <c r="AH25" s="1">
        <v>490</v>
      </c>
      <c r="AI25" s="2">
        <v>5091606.0999999996</v>
      </c>
      <c r="AJ25" s="2">
        <f t="shared" si="10"/>
        <v>1103.0175714285715</v>
      </c>
      <c r="AK25" s="5">
        <f t="shared" si="11"/>
        <v>0.1061509078638271</v>
      </c>
      <c r="AL25" s="2">
        <v>14832</v>
      </c>
      <c r="AM25" s="2">
        <v>62131</v>
      </c>
      <c r="AN25" s="2">
        <v>234322</v>
      </c>
      <c r="AO25" s="2">
        <f>1406778/5</f>
        <v>281355.59999999998</v>
      </c>
      <c r="AP25" s="2">
        <f>2031245/5</f>
        <v>406249</v>
      </c>
      <c r="AQ25" s="2">
        <f t="shared" si="6"/>
        <v>998889.6</v>
      </c>
      <c r="AR25" s="2">
        <f t="shared" si="30"/>
        <v>998889.6</v>
      </c>
      <c r="AS25" s="2">
        <v>3550098</v>
      </c>
      <c r="AT25" s="1">
        <v>500</v>
      </c>
      <c r="AU25" s="2">
        <f>11681427-3550098</f>
        <v>8131329</v>
      </c>
      <c r="AV25" s="2">
        <f t="shared" si="12"/>
        <v>5268835.5999999996</v>
      </c>
      <c r="AW25" s="2">
        <f t="shared" si="7"/>
        <v>1997.7791999999999</v>
      </c>
      <c r="AX25" s="5">
        <f t="shared" si="8"/>
        <v>0.18958450705882721</v>
      </c>
      <c r="AY25" s="5">
        <f t="shared" si="82"/>
        <v>0.10786468781570885</v>
      </c>
      <c r="AZ25" s="2">
        <f t="shared" si="13"/>
        <v>1404.8732</v>
      </c>
      <c r="BA25" s="5">
        <f t="shared" si="14"/>
        <v>0.13331913411760277</v>
      </c>
      <c r="BB25" s="2">
        <f t="shared" si="15"/>
        <v>592.90599999999995</v>
      </c>
      <c r="BC25" s="5">
        <f t="shared" si="16"/>
        <v>5.626537294122444E-2</v>
      </c>
      <c r="BD25" s="5" t="s">
        <v>271</v>
      </c>
      <c r="BE25" s="5"/>
      <c r="BF25" s="2">
        <v>14832</v>
      </c>
      <c r="BG25" s="2">
        <v>365773</v>
      </c>
      <c r="BH25" s="2">
        <v>119444</v>
      </c>
      <c r="BI25" s="2">
        <v>43911</v>
      </c>
      <c r="BJ25" s="2">
        <v>146378</v>
      </c>
      <c r="BK25" s="2">
        <f t="shared" si="17"/>
        <v>690338</v>
      </c>
      <c r="BL25" s="2">
        <v>690338.61</v>
      </c>
      <c r="BM25" s="1">
        <v>498</v>
      </c>
      <c r="BN25" s="2">
        <v>6400042.7199999988</v>
      </c>
      <c r="BO25" s="2">
        <f t="shared" si="83"/>
        <v>1386.222108433735</v>
      </c>
      <c r="BP25" s="5">
        <f t="shared" si="84"/>
        <v>0.10786468781570885</v>
      </c>
      <c r="BQ25" s="2">
        <f t="shared" si="18"/>
        <v>1004.1144578313254</v>
      </c>
      <c r="BR25" s="5">
        <f t="shared" si="19"/>
        <v>7.8132134718000776E-2</v>
      </c>
      <c r="BS25" s="2">
        <f t="shared" si="20"/>
        <v>382.10642570281124</v>
      </c>
      <c r="BT25" s="5">
        <f t="shared" si="21"/>
        <v>2.9732457785844286E-2</v>
      </c>
      <c r="BU25" s="1">
        <v>500</v>
      </c>
      <c r="BV25" s="5">
        <f>(BU25-BM25)/BM25/5</f>
        <v>8.0321285140562242E-4</v>
      </c>
    </row>
    <row r="26" spans="1:75">
      <c r="M26" s="2" t="s">
        <v>272</v>
      </c>
      <c r="N26" s="2">
        <v>150592</v>
      </c>
      <c r="O26" s="2">
        <v>50324</v>
      </c>
      <c r="P26" s="2">
        <v>0</v>
      </c>
      <c r="Q26" s="2">
        <f>SUM(N26:P26)</f>
        <v>200916</v>
      </c>
      <c r="S26" s="2">
        <v>1309771</v>
      </c>
      <c r="T26" s="5">
        <f>Q26/S26</f>
        <v>0.15339780770837039</v>
      </c>
      <c r="U26" s="2">
        <f t="shared" si="22"/>
        <v>1660.4628099173553</v>
      </c>
      <c r="V26" s="13">
        <v>135</v>
      </c>
      <c r="W26" s="2" t="s">
        <v>242</v>
      </c>
      <c r="X26" s="5"/>
      <c r="Y26" s="2">
        <f t="shared" si="23"/>
        <v>10824.553719008265</v>
      </c>
      <c r="Z26" s="2">
        <v>245908</v>
      </c>
      <c r="AA26" s="2">
        <v>1228232</v>
      </c>
      <c r="AB26" s="5">
        <f>Z26/AA26</f>
        <v>0.20021298907698221</v>
      </c>
      <c r="AC26" s="2">
        <f>Q26-Z26</f>
        <v>-44992</v>
      </c>
      <c r="AD26">
        <v>121</v>
      </c>
      <c r="AE26" s="2">
        <f t="shared" ref="AE26" si="89">Z26/AD26</f>
        <v>2032.297520661157</v>
      </c>
      <c r="AF26" s="2">
        <f t="shared" ref="AF26" si="90">AA26/AD26</f>
        <v>10150.677685950413</v>
      </c>
      <c r="AG26" s="2">
        <v>242990</v>
      </c>
      <c r="AH26" s="1">
        <v>123</v>
      </c>
      <c r="AI26" s="2">
        <v>1348497.2660000001</v>
      </c>
      <c r="AJ26" s="2">
        <f t="shared" si="10"/>
        <v>1975.5284552845528</v>
      </c>
      <c r="AK26" s="5">
        <f t="shared" si="11"/>
        <v>0.18019317215286071</v>
      </c>
      <c r="AL26" s="2">
        <v>268773</v>
      </c>
      <c r="AM26" s="2">
        <v>101705</v>
      </c>
      <c r="AN26" s="2">
        <v>295000</v>
      </c>
      <c r="AO26" s="2">
        <v>0</v>
      </c>
      <c r="AP26" s="2">
        <v>0</v>
      </c>
      <c r="AQ26" s="2">
        <f t="shared" si="6"/>
        <v>665478</v>
      </c>
      <c r="AR26" s="2">
        <f t="shared" si="30"/>
        <v>665478</v>
      </c>
      <c r="AS26" s="2">
        <v>671350</v>
      </c>
      <c r="AT26" s="1">
        <v>819</v>
      </c>
      <c r="AU26" s="2">
        <v>11551118</v>
      </c>
      <c r="AV26" s="2">
        <f t="shared" si="12"/>
        <v>10879768</v>
      </c>
      <c r="AW26" s="2">
        <f t="shared" si="7"/>
        <v>812.54945054945051</v>
      </c>
      <c r="AX26" s="5">
        <f t="shared" si="8"/>
        <v>6.1166561639917322E-2</v>
      </c>
      <c r="AY26" s="5">
        <f t="shared" si="82"/>
        <v>0.11981451131978535</v>
      </c>
      <c r="AZ26" s="2">
        <f t="shared" si="13"/>
        <v>328.17216117216117</v>
      </c>
      <c r="BA26" s="5">
        <f t="shared" si="14"/>
        <v>2.4703927510218968E-2</v>
      </c>
      <c r="BB26" s="2">
        <f t="shared" si="15"/>
        <v>484.3772893772894</v>
      </c>
      <c r="BC26" s="5">
        <f t="shared" si="16"/>
        <v>3.6462634129698357E-2</v>
      </c>
      <c r="BD26" s="5" t="s">
        <v>273</v>
      </c>
      <c r="BE26" s="5"/>
      <c r="BF26" s="2">
        <v>555822</v>
      </c>
      <c r="BG26" s="2">
        <v>0</v>
      </c>
      <c r="BH26" s="2">
        <v>0</v>
      </c>
      <c r="BI26" s="2">
        <v>121759</v>
      </c>
      <c r="BJ26" s="2">
        <v>216838</v>
      </c>
      <c r="BK26" s="2">
        <f t="shared" si="17"/>
        <v>894419</v>
      </c>
      <c r="BL26" s="2">
        <v>894419.85</v>
      </c>
      <c r="BM26" s="1">
        <v>751</v>
      </c>
      <c r="BN26" s="2">
        <v>7465037.75</v>
      </c>
      <c r="BO26" s="2">
        <f t="shared" si="83"/>
        <v>1190.9718375499333</v>
      </c>
      <c r="BP26" s="5">
        <f t="shared" si="84"/>
        <v>0.11981451131978535</v>
      </c>
      <c r="BQ26" s="2">
        <f t="shared" si="18"/>
        <v>740.10918774966706</v>
      </c>
      <c r="BR26" s="5">
        <f t="shared" si="19"/>
        <v>7.4456689787000749E-2</v>
      </c>
      <c r="BS26" s="2">
        <f t="shared" si="20"/>
        <v>450.86151797603196</v>
      </c>
      <c r="BT26" s="5">
        <f t="shared" si="21"/>
        <v>4.5357707668658473E-2</v>
      </c>
      <c r="BV26" s="5"/>
    </row>
    <row r="27" spans="1:75">
      <c r="A27" t="s">
        <v>274</v>
      </c>
      <c r="M27" s="2" t="s">
        <v>275</v>
      </c>
      <c r="N27" s="2">
        <v>593646</v>
      </c>
      <c r="O27" s="2">
        <v>0</v>
      </c>
      <c r="P27" s="2">
        <v>0</v>
      </c>
      <c r="Q27" s="2">
        <f t="shared" si="25"/>
        <v>593646</v>
      </c>
      <c r="S27" s="2">
        <v>3658808</v>
      </c>
      <c r="T27" s="5">
        <f t="shared" si="26"/>
        <v>0.16225120312407756</v>
      </c>
      <c r="U27" s="2">
        <f t="shared" si="22"/>
        <v>1777.3832335329341</v>
      </c>
      <c r="V27" s="13">
        <v>140</v>
      </c>
      <c r="W27" s="2" t="s">
        <v>234</v>
      </c>
      <c r="X27" s="5"/>
      <c r="Y27" s="2">
        <f t="shared" si="23"/>
        <v>10954.514970059879</v>
      </c>
      <c r="Z27" s="2">
        <v>685592</v>
      </c>
      <c r="AA27" s="2">
        <v>3198780</v>
      </c>
      <c r="AB27" s="5">
        <f t="shared" si="27"/>
        <v>0.214329213012461</v>
      </c>
      <c r="AC27" s="2">
        <f t="shared" si="28"/>
        <v>-91946</v>
      </c>
      <c r="AD27">
        <v>334</v>
      </c>
      <c r="AE27" s="2">
        <f t="shared" si="29"/>
        <v>2052.6706586826349</v>
      </c>
      <c r="AF27" s="2">
        <f t="shared" si="24"/>
        <v>9577.1856287425144</v>
      </c>
      <c r="AG27" s="2">
        <v>683162.1100000001</v>
      </c>
      <c r="AH27" s="1">
        <v>334</v>
      </c>
      <c r="AI27" s="2">
        <v>3571219.7500000005</v>
      </c>
      <c r="AJ27" s="2">
        <f t="shared" si="10"/>
        <v>2045.395538922156</v>
      </c>
      <c r="AK27" s="5">
        <f t="shared" si="11"/>
        <v>0.19129657591079352</v>
      </c>
      <c r="AL27" s="2">
        <v>408808</v>
      </c>
      <c r="AM27" s="2">
        <v>68743</v>
      </c>
      <c r="AN27" s="2">
        <v>95000</v>
      </c>
      <c r="AO27" s="2">
        <v>0</v>
      </c>
      <c r="AP27" s="2">
        <v>0</v>
      </c>
      <c r="AQ27" s="2">
        <f t="shared" si="6"/>
        <v>572551</v>
      </c>
      <c r="AR27" s="2">
        <f t="shared" si="30"/>
        <v>572551</v>
      </c>
      <c r="AS27" s="2">
        <v>178460</v>
      </c>
      <c r="AT27" s="1">
        <v>232</v>
      </c>
      <c r="AU27" s="2">
        <v>4412729</v>
      </c>
      <c r="AV27" s="2">
        <f t="shared" si="12"/>
        <v>4234269</v>
      </c>
      <c r="AW27" s="2">
        <f t="shared" si="7"/>
        <v>2467.8922413793102</v>
      </c>
      <c r="AX27" s="5">
        <f t="shared" si="8"/>
        <v>0.13521838126014196</v>
      </c>
      <c r="AY27" s="5">
        <f t="shared" si="82"/>
        <v>0.18425390118014509</v>
      </c>
      <c r="AZ27" s="2">
        <f t="shared" si="13"/>
        <v>1762.1034482758621</v>
      </c>
      <c r="BA27" s="5">
        <f t="shared" si="14"/>
        <v>9.6547479623991767E-2</v>
      </c>
      <c r="BB27" s="2">
        <f t="shared" si="15"/>
        <v>705.78879310344826</v>
      </c>
      <c r="BC27" s="5">
        <f t="shared" si="16"/>
        <v>3.8670901636150182E-2</v>
      </c>
      <c r="BD27" s="5" t="s">
        <v>276</v>
      </c>
      <c r="BE27" s="5"/>
      <c r="BF27" s="2">
        <v>479937</v>
      </c>
      <c r="BG27" s="2">
        <v>0</v>
      </c>
      <c r="BH27" s="2">
        <v>0</v>
      </c>
      <c r="BI27" s="2">
        <v>55399</v>
      </c>
      <c r="BJ27" s="2">
        <v>113577</v>
      </c>
      <c r="BK27" s="2">
        <f t="shared" si="17"/>
        <v>648913</v>
      </c>
      <c r="BL27" s="2">
        <v>648913.36</v>
      </c>
      <c r="BM27" s="1">
        <v>309</v>
      </c>
      <c r="BN27" s="2">
        <v>3521843.26</v>
      </c>
      <c r="BO27" s="2">
        <f t="shared" si="83"/>
        <v>2100.0432362459546</v>
      </c>
      <c r="BP27" s="5">
        <f t="shared" si="84"/>
        <v>0.18425390118014509</v>
      </c>
      <c r="BQ27" s="2">
        <f t="shared" si="18"/>
        <v>1553.1941747572816</v>
      </c>
      <c r="BR27" s="5">
        <f t="shared" si="19"/>
        <v>0.13627437809370313</v>
      </c>
      <c r="BS27" s="2">
        <f t="shared" si="20"/>
        <v>546.84789644012949</v>
      </c>
      <c r="BT27" s="5">
        <f t="shared" si="21"/>
        <v>4.797942086724212E-2</v>
      </c>
      <c r="BU27" s="1">
        <v>325</v>
      </c>
      <c r="BV27" s="5">
        <f>(BU27-BM27)/BM27/5</f>
        <v>1.0355987055016181E-2</v>
      </c>
    </row>
    <row r="28" spans="1:75">
      <c r="A28" s="11" t="s">
        <v>277</v>
      </c>
      <c r="B28" s="142">
        <v>1028100000</v>
      </c>
      <c r="E28" s="21">
        <v>1100000000</v>
      </c>
      <c r="M28" s="2" t="s">
        <v>278</v>
      </c>
      <c r="N28" s="2">
        <v>150592</v>
      </c>
      <c r="O28" s="2">
        <v>50324</v>
      </c>
      <c r="P28" s="2">
        <v>0</v>
      </c>
      <c r="Q28" s="2">
        <f>SUM(N28:P28)</f>
        <v>200916</v>
      </c>
      <c r="S28" s="2">
        <v>1309771</v>
      </c>
      <c r="T28" s="5">
        <f>Q28/S28</f>
        <v>0.15339780770837039</v>
      </c>
      <c r="U28" s="2">
        <f t="shared" ref="U28" si="91">Q28/AD28</f>
        <v>1660.4628099173553</v>
      </c>
      <c r="V28" s="13">
        <v>146</v>
      </c>
      <c r="W28" s="2" t="s">
        <v>279</v>
      </c>
      <c r="X28" s="5"/>
      <c r="Y28" s="2">
        <f t="shared" ref="Y28" si="92">S28/AD28</f>
        <v>10824.553719008265</v>
      </c>
      <c r="Z28" s="2">
        <v>245908</v>
      </c>
      <c r="AA28" s="2">
        <v>1228232</v>
      </c>
      <c r="AB28" s="5">
        <f>Z28/AA28</f>
        <v>0.20021298907698221</v>
      </c>
      <c r="AC28" s="2">
        <f>Q28-Z28</f>
        <v>-44992</v>
      </c>
      <c r="AD28">
        <v>121</v>
      </c>
      <c r="AE28" s="2">
        <f t="shared" si="29"/>
        <v>2032.297520661157</v>
      </c>
      <c r="AF28" s="2">
        <f t="shared" si="24"/>
        <v>10150.677685950413</v>
      </c>
      <c r="AG28" s="2">
        <v>242990</v>
      </c>
      <c r="AH28" s="1">
        <v>123</v>
      </c>
      <c r="AI28" s="2">
        <v>1348497.2660000001</v>
      </c>
      <c r="AJ28" s="2">
        <f t="shared" ref="AJ28" si="93">AG28/AH28</f>
        <v>1975.5284552845528</v>
      </c>
      <c r="AK28" s="5">
        <f t="shared" ref="AK28" si="94">AG28/AI28</f>
        <v>0.18019317215286071</v>
      </c>
      <c r="AL28" s="2">
        <v>60000</v>
      </c>
      <c r="AM28" s="2">
        <v>0</v>
      </c>
      <c r="AN28" s="2">
        <v>8476</v>
      </c>
      <c r="AO28" s="2">
        <v>0</v>
      </c>
      <c r="AP28" s="2">
        <v>0</v>
      </c>
      <c r="AQ28" s="2">
        <f t="shared" si="6"/>
        <v>68476</v>
      </c>
      <c r="AR28" s="2">
        <f t="shared" si="30"/>
        <v>68476</v>
      </c>
      <c r="AS28" s="2">
        <v>0</v>
      </c>
      <c r="AT28" s="1">
        <v>44</v>
      </c>
      <c r="AU28" s="2">
        <v>516017</v>
      </c>
      <c r="AV28" s="2">
        <f t="shared" si="12"/>
        <v>516017</v>
      </c>
      <c r="AW28" s="2">
        <f t="shared" si="7"/>
        <v>1556.2727272727273</v>
      </c>
      <c r="AX28" s="5">
        <f t="shared" si="8"/>
        <v>0.13270105442262561</v>
      </c>
      <c r="AY28" s="5">
        <f t="shared" si="82"/>
        <v>0.18362396179111168</v>
      </c>
      <c r="AZ28" s="2">
        <f t="shared" si="13"/>
        <v>1363.6363636363637</v>
      </c>
      <c r="BA28" s="5">
        <f t="shared" si="14"/>
        <v>0.11627523899406415</v>
      </c>
      <c r="BB28" s="2">
        <f t="shared" si="15"/>
        <v>192.63636363636363</v>
      </c>
      <c r="BC28" s="5">
        <f t="shared" si="16"/>
        <v>1.642581542856146E-2</v>
      </c>
      <c r="BD28" s="5" t="s">
        <v>280</v>
      </c>
      <c r="BE28" s="5"/>
      <c r="BF28" s="2">
        <v>60000</v>
      </c>
      <c r="BG28" s="2">
        <v>0</v>
      </c>
      <c r="BH28" s="2">
        <v>0</v>
      </c>
      <c r="BI28" s="2">
        <v>0</v>
      </c>
      <c r="BJ28" s="2">
        <v>5551</v>
      </c>
      <c r="BK28" s="2">
        <f t="shared" si="17"/>
        <v>65551</v>
      </c>
      <c r="BL28" s="2">
        <v>65551</v>
      </c>
      <c r="BM28" s="1">
        <v>26</v>
      </c>
      <c r="BN28" s="2">
        <v>356985</v>
      </c>
      <c r="BO28" s="2">
        <f t="shared" si="83"/>
        <v>2521.1923076923076</v>
      </c>
      <c r="BP28" s="5">
        <f t="shared" si="84"/>
        <v>0.18362396179111168</v>
      </c>
      <c r="BQ28" s="2">
        <f t="shared" si="18"/>
        <v>2307.6923076923076</v>
      </c>
      <c r="BR28" s="5">
        <f t="shared" si="19"/>
        <v>0.16807428883566536</v>
      </c>
      <c r="BS28" s="2">
        <f t="shared" si="20"/>
        <v>213.5</v>
      </c>
      <c r="BT28" s="5">
        <f t="shared" si="21"/>
        <v>1.5549672955446308E-2</v>
      </c>
      <c r="BV28" s="5"/>
      <c r="BW28" t="s">
        <v>281</v>
      </c>
    </row>
    <row r="29" spans="1:75">
      <c r="A29" t="s">
        <v>282</v>
      </c>
      <c r="B29" s="142">
        <v>364400000</v>
      </c>
      <c r="E29" s="2">
        <v>400000000</v>
      </c>
      <c r="M29" s="2" t="s">
        <v>283</v>
      </c>
      <c r="N29" s="2">
        <v>345419</v>
      </c>
      <c r="O29" s="2">
        <v>66276</v>
      </c>
      <c r="P29" s="2">
        <v>0</v>
      </c>
      <c r="Q29" s="2">
        <f t="shared" si="25"/>
        <v>411695</v>
      </c>
      <c r="S29" s="2">
        <v>2466060</v>
      </c>
      <c r="T29" s="5">
        <f t="shared" si="26"/>
        <v>0.16694443768602549</v>
      </c>
      <c r="U29" s="2">
        <f t="shared" si="22"/>
        <v>1694.2181069958847</v>
      </c>
      <c r="V29" s="13">
        <v>151</v>
      </c>
      <c r="W29" s="2" t="s">
        <v>234</v>
      </c>
      <c r="X29" s="5"/>
      <c r="Y29" s="2">
        <f t="shared" si="23"/>
        <v>10148.395061728395</v>
      </c>
      <c r="Z29" s="2">
        <v>463275</v>
      </c>
      <c r="AA29" s="2">
        <v>2717461</v>
      </c>
      <c r="AB29" s="5">
        <f t="shared" si="27"/>
        <v>0.17048082750773608</v>
      </c>
      <c r="AC29" s="2">
        <f t="shared" si="28"/>
        <v>-51580</v>
      </c>
      <c r="AD29">
        <v>243</v>
      </c>
      <c r="AE29" s="2">
        <f t="shared" si="29"/>
        <v>1906.4814814814815</v>
      </c>
      <c r="AF29" s="2">
        <f t="shared" si="24"/>
        <v>11182.9670781893</v>
      </c>
      <c r="AG29" s="2">
        <v>397326.74</v>
      </c>
      <c r="AH29" s="1">
        <v>243</v>
      </c>
      <c r="AI29" s="2">
        <v>2717481.4900000007</v>
      </c>
      <c r="AJ29" s="2">
        <f t="shared" si="10"/>
        <v>1635.0894650205762</v>
      </c>
      <c r="AK29" s="5">
        <f t="shared" si="11"/>
        <v>0.14621138780967369</v>
      </c>
      <c r="AL29" s="2">
        <v>0</v>
      </c>
      <c r="AM29" s="2">
        <f>58505.72/5</f>
        <v>11701.144</v>
      </c>
      <c r="AN29" s="2">
        <v>281697.05</v>
      </c>
      <c r="AO29" s="2">
        <v>215571.81</v>
      </c>
      <c r="AP29" s="2">
        <f>158612.79/5</f>
        <v>31722.558000000001</v>
      </c>
      <c r="AQ29" s="2">
        <f t="shared" si="6"/>
        <v>540692.56200000003</v>
      </c>
      <c r="AR29" s="2">
        <f t="shared" si="30"/>
        <v>540692.56200000003</v>
      </c>
      <c r="AS29" s="2">
        <v>0</v>
      </c>
      <c r="AT29" s="1">
        <v>210</v>
      </c>
      <c r="AU29" s="2">
        <v>3062139</v>
      </c>
      <c r="AV29" s="2">
        <f t="shared" si="12"/>
        <v>3309433.3680000002</v>
      </c>
      <c r="AW29" s="2">
        <f t="shared" si="7"/>
        <v>2574.7264857142859</v>
      </c>
      <c r="AX29" s="5">
        <f t="shared" si="8"/>
        <v>0.16337919573427109</v>
      </c>
      <c r="AY29" s="5">
        <f t="shared" si="82"/>
        <v>0.17039035184028328</v>
      </c>
      <c r="AZ29" s="2">
        <f t="shared" si="13"/>
        <v>1177.5922285714284</v>
      </c>
      <c r="BA29" s="5">
        <f t="shared" si="14"/>
        <v>7.4724081285687929E-2</v>
      </c>
      <c r="BB29" s="2">
        <f t="shared" si="15"/>
        <v>1397.1342571428572</v>
      </c>
      <c r="BC29" s="5">
        <f t="shared" si="16"/>
        <v>8.865511444858315E-2</v>
      </c>
      <c r="BD29" s="5"/>
      <c r="BE29" s="5"/>
      <c r="BF29" s="2">
        <v>173691.48</v>
      </c>
      <c r="BG29" s="2">
        <v>0</v>
      </c>
      <c r="BH29" s="2">
        <v>0</v>
      </c>
      <c r="BI29" s="2">
        <v>63728.66</v>
      </c>
      <c r="BJ29" s="2">
        <v>232163.94</v>
      </c>
      <c r="BK29" s="2">
        <f t="shared" si="17"/>
        <v>469584.08</v>
      </c>
      <c r="BL29" s="2">
        <v>469584.08</v>
      </c>
      <c r="BM29" s="1">
        <v>247</v>
      </c>
      <c r="BN29" s="2">
        <v>2755931.1599999997</v>
      </c>
      <c r="BO29" s="2">
        <f t="shared" si="83"/>
        <v>1901.1501214574898</v>
      </c>
      <c r="BP29" s="5">
        <f t="shared" si="84"/>
        <v>0.17039035184028328</v>
      </c>
      <c r="BQ29" s="2">
        <f t="shared" si="18"/>
        <v>703.2043724696357</v>
      </c>
      <c r="BR29" s="5">
        <f t="shared" si="19"/>
        <v>6.3024607624814558E-2</v>
      </c>
      <c r="BS29" s="2">
        <f t="shared" si="20"/>
        <v>1197.9457489878541</v>
      </c>
      <c r="BT29" s="5">
        <f t="shared" si="21"/>
        <v>0.10736574421546873</v>
      </c>
      <c r="BU29" s="1">
        <v>255</v>
      </c>
      <c r="BV29" s="5">
        <f t="shared" ref="BV29:BV39" si="95">(BU29-BM29)/BM29/5</f>
        <v>6.4777327935222669E-3</v>
      </c>
    </row>
    <row r="30" spans="1:75">
      <c r="A30" s="11" t="s">
        <v>277</v>
      </c>
      <c r="B30" s="21">
        <f>B28+B29</f>
        <v>1392500000</v>
      </c>
      <c r="C30" s="21"/>
      <c r="D30" s="21"/>
      <c r="E30" s="21">
        <f>E28+E29</f>
        <v>1500000000</v>
      </c>
      <c r="F30" s="21"/>
      <c r="G30" s="21"/>
      <c r="H30" s="21">
        <v>1600000000</v>
      </c>
      <c r="I30" s="21">
        <f>H30*(1+K31)</f>
        <v>1638364252.9423501</v>
      </c>
      <c r="J30" s="21">
        <f>I30*(1+K31)</f>
        <v>1677648390.8245907</v>
      </c>
      <c r="K30" s="11"/>
      <c r="M30" t="s">
        <v>284</v>
      </c>
      <c r="N30" s="2">
        <v>369690</v>
      </c>
      <c r="O30" s="2">
        <v>79817</v>
      </c>
      <c r="P30" s="2">
        <v>0</v>
      </c>
      <c r="Q30" s="2">
        <f t="shared" si="25"/>
        <v>449507</v>
      </c>
      <c r="S30" s="2">
        <v>2800315</v>
      </c>
      <c r="T30" s="5">
        <f t="shared" si="26"/>
        <v>0.16052015576819037</v>
      </c>
      <c r="U30" s="2">
        <f t="shared" si="22"/>
        <v>2043.2136363636364</v>
      </c>
      <c r="X30" s="5"/>
      <c r="Y30" s="2">
        <f t="shared" si="23"/>
        <v>12728.704545454546</v>
      </c>
      <c r="Z30" s="2">
        <v>388932</v>
      </c>
      <c r="AA30" s="2">
        <v>2476826</v>
      </c>
      <c r="AB30" s="5">
        <f t="shared" si="27"/>
        <v>0.15702839036734917</v>
      </c>
      <c r="AC30" s="2">
        <f t="shared" si="28"/>
        <v>60575</v>
      </c>
      <c r="AD30">
        <v>220</v>
      </c>
      <c r="AE30" s="2">
        <f t="shared" si="29"/>
        <v>1767.8727272727272</v>
      </c>
      <c r="AF30" s="2">
        <f t="shared" si="24"/>
        <v>11258.3</v>
      </c>
      <c r="AG30" s="2">
        <v>418426.44</v>
      </c>
      <c r="AH30" s="1">
        <v>220</v>
      </c>
      <c r="AI30" s="2">
        <v>2476833.6200000006</v>
      </c>
      <c r="AJ30" s="2">
        <f t="shared" si="10"/>
        <v>1901.9383636363636</v>
      </c>
      <c r="AK30" s="5">
        <f t="shared" si="11"/>
        <v>0.16893603051140751</v>
      </c>
      <c r="AL30" s="2">
        <v>210000</v>
      </c>
      <c r="AM30" s="2">
        <v>53331.68</v>
      </c>
      <c r="AN30" s="2">
        <v>112180.92</v>
      </c>
      <c r="AO30" s="2">
        <v>0</v>
      </c>
      <c r="AP30" s="2">
        <v>0</v>
      </c>
      <c r="AQ30" s="2">
        <f t="shared" si="6"/>
        <v>375512.6</v>
      </c>
      <c r="AR30" s="2">
        <f t="shared" si="30"/>
        <v>375512.6</v>
      </c>
      <c r="AS30" s="2">
        <v>0</v>
      </c>
      <c r="AT30" s="1">
        <v>206</v>
      </c>
      <c r="AU30" s="2">
        <v>2625360</v>
      </c>
      <c r="AV30" s="2">
        <f t="shared" si="12"/>
        <v>2625360</v>
      </c>
      <c r="AW30" s="2">
        <f t="shared" si="7"/>
        <v>1822.876699029126</v>
      </c>
      <c r="AX30" s="5">
        <f t="shared" si="8"/>
        <v>0.14303280312033395</v>
      </c>
      <c r="AY30" s="5">
        <f t="shared" ref="AY30:AY39" si="96">BP30</f>
        <v>0.12300314682979542</v>
      </c>
      <c r="AZ30" s="2">
        <f t="shared" si="13"/>
        <v>1019.4174757281553</v>
      </c>
      <c r="BA30" s="5">
        <f t="shared" si="14"/>
        <v>7.9989030075875309E-2</v>
      </c>
      <c r="BB30" s="2">
        <f t="shared" si="15"/>
        <v>803.45922330097085</v>
      </c>
      <c r="BC30" s="5">
        <f t="shared" si="16"/>
        <v>6.304377304445867E-2</v>
      </c>
      <c r="BD30" s="5"/>
      <c r="BE30" s="5"/>
      <c r="BF30" s="2">
        <v>210129.6</v>
      </c>
      <c r="BG30" s="2">
        <v>0</v>
      </c>
      <c r="BH30" s="2">
        <v>0</v>
      </c>
      <c r="BI30" s="2">
        <v>40469.18</v>
      </c>
      <c r="BJ30" s="2">
        <v>67124.94</v>
      </c>
      <c r="BK30" s="2">
        <f t="shared" si="17"/>
        <v>317723.71999999997</v>
      </c>
      <c r="BL30" s="2">
        <v>317723.71999999997</v>
      </c>
      <c r="BM30" s="1">
        <v>235</v>
      </c>
      <c r="BN30" s="2">
        <v>2583053.5899999985</v>
      </c>
      <c r="BO30" s="2">
        <f t="shared" ref="BO30:BO39" si="97">BL30/BM30</f>
        <v>1352.015829787234</v>
      </c>
      <c r="BP30" s="5">
        <f t="shared" ref="BP30:BP39" si="98">BL30/BN30</f>
        <v>0.12300314682979542</v>
      </c>
      <c r="BQ30" s="2">
        <f t="shared" si="18"/>
        <v>894.1685106382979</v>
      </c>
      <c r="BR30" s="5">
        <f t="shared" si="19"/>
        <v>8.1349299454526666E-2</v>
      </c>
      <c r="BS30" s="2">
        <f t="shared" si="20"/>
        <v>457.84731914893615</v>
      </c>
      <c r="BT30" s="5">
        <f t="shared" si="21"/>
        <v>4.1653847375268761E-2</v>
      </c>
      <c r="BU30" s="1">
        <v>255</v>
      </c>
      <c r="BV30" s="5">
        <f t="shared" si="95"/>
        <v>1.7021276595744681E-2</v>
      </c>
    </row>
    <row r="31" spans="1:75">
      <c r="A31" s="11" t="s">
        <v>225</v>
      </c>
      <c r="B31" s="11"/>
      <c r="C31" s="12"/>
      <c r="D31" s="12"/>
      <c r="E31" s="12">
        <f>(E30-B30)/B30/3</f>
        <v>2.5733093955715141E-2</v>
      </c>
      <c r="F31" s="12"/>
      <c r="G31" s="12"/>
      <c r="H31" s="12">
        <f>(H30-E30)/E30/3</f>
        <v>2.2222222222222223E-2</v>
      </c>
      <c r="I31" s="12"/>
      <c r="J31" s="12"/>
      <c r="K31" s="12">
        <f>AVERAGE(C31:H31)</f>
        <v>2.3977658088968682E-2</v>
      </c>
      <c r="M31" s="2" t="s">
        <v>285</v>
      </c>
      <c r="N31" s="2">
        <v>132000</v>
      </c>
      <c r="O31" s="2">
        <v>0</v>
      </c>
      <c r="P31" s="2">
        <v>0</v>
      </c>
      <c r="Q31" s="2">
        <f t="shared" si="25"/>
        <v>132000</v>
      </c>
      <c r="S31" s="2">
        <f>1754805+32871</f>
        <v>1787676</v>
      </c>
      <c r="T31" s="5">
        <f t="shared" si="26"/>
        <v>7.3838883556080634E-2</v>
      </c>
      <c r="U31" s="2">
        <f t="shared" si="22"/>
        <v>868.42105263157896</v>
      </c>
      <c r="X31" s="5"/>
      <c r="Y31" s="2">
        <f t="shared" si="23"/>
        <v>11761.026315789473</v>
      </c>
      <c r="Z31" s="2">
        <v>203955</v>
      </c>
      <c r="AA31" s="2">
        <v>1586859</v>
      </c>
      <c r="AB31" s="5">
        <f t="shared" si="27"/>
        <v>0.12852748731928923</v>
      </c>
      <c r="AC31" s="2">
        <f t="shared" si="28"/>
        <v>-71955</v>
      </c>
      <c r="AD31">
        <v>152</v>
      </c>
      <c r="AE31" s="2">
        <f t="shared" si="29"/>
        <v>1341.8092105263158</v>
      </c>
      <c r="AF31" s="2">
        <f t="shared" si="24"/>
        <v>10439.861842105263</v>
      </c>
      <c r="AG31" s="2">
        <v>203954.77</v>
      </c>
      <c r="AH31" s="1">
        <v>150</v>
      </c>
      <c r="AI31" s="2">
        <v>1549109.99</v>
      </c>
      <c r="AJ31" s="2">
        <f t="shared" si="10"/>
        <v>1359.6984666666665</v>
      </c>
      <c r="AK31" s="5">
        <f t="shared" si="11"/>
        <v>0.13165932136297179</v>
      </c>
      <c r="AL31" s="2">
        <v>132000</v>
      </c>
      <c r="AM31" s="2">
        <v>33400</v>
      </c>
      <c r="AN31" s="2">
        <v>60380</v>
      </c>
      <c r="AO31" s="2">
        <f>68300/5</f>
        <v>13660</v>
      </c>
      <c r="AP31" s="2">
        <f>20000/5</f>
        <v>4000</v>
      </c>
      <c r="AQ31" s="2">
        <f t="shared" si="6"/>
        <v>243440</v>
      </c>
      <c r="AR31" s="2">
        <f t="shared" si="30"/>
        <v>243440</v>
      </c>
      <c r="AS31" s="2">
        <v>0</v>
      </c>
      <c r="AT31" s="1">
        <v>78</v>
      </c>
      <c r="AU31" s="2">
        <v>1398666</v>
      </c>
      <c r="AV31" s="2">
        <f t="shared" si="12"/>
        <v>1416326</v>
      </c>
      <c r="AW31" s="2">
        <f t="shared" si="7"/>
        <v>3121.0256410256411</v>
      </c>
      <c r="AX31" s="5">
        <f t="shared" si="8"/>
        <v>0.17188133240511011</v>
      </c>
      <c r="AY31" s="5">
        <f t="shared" si="96"/>
        <v>0.13477683725705403</v>
      </c>
      <c r="AZ31" s="2">
        <f t="shared" si="13"/>
        <v>1918.7179487179487</v>
      </c>
      <c r="BA31" s="5">
        <f t="shared" si="14"/>
        <v>0.10566776293028582</v>
      </c>
      <c r="BB31" s="2">
        <f t="shared" si="15"/>
        <v>1202.3076923076924</v>
      </c>
      <c r="BC31" s="5">
        <f t="shared" si="16"/>
        <v>6.6213569474824305E-2</v>
      </c>
      <c r="BD31" s="5"/>
      <c r="BE31" s="5"/>
      <c r="BF31" s="2">
        <v>132000</v>
      </c>
      <c r="BG31" s="2">
        <v>0</v>
      </c>
      <c r="BH31" s="2">
        <v>0</v>
      </c>
      <c r="BI31" s="2">
        <v>32585</v>
      </c>
      <c r="BJ31" s="2">
        <v>58935</v>
      </c>
      <c r="BK31" s="2">
        <f t="shared" si="17"/>
        <v>223520</v>
      </c>
      <c r="BL31" s="2">
        <v>223519.86</v>
      </c>
      <c r="BM31" s="1">
        <v>155</v>
      </c>
      <c r="BN31" s="2">
        <v>1658444.1699999997</v>
      </c>
      <c r="BO31" s="2">
        <f t="shared" si="97"/>
        <v>1442.0636129032257</v>
      </c>
      <c r="BP31" s="5">
        <f t="shared" si="98"/>
        <v>0.13477683725705403</v>
      </c>
      <c r="BQ31" s="2">
        <f t="shared" si="18"/>
        <v>851.61290322580646</v>
      </c>
      <c r="BR31" s="5">
        <f t="shared" si="19"/>
        <v>7.9592670279639274E-2</v>
      </c>
      <c r="BS31" s="2">
        <f t="shared" si="20"/>
        <v>590.45161290322585</v>
      </c>
      <c r="BT31" s="5">
        <f t="shared" si="21"/>
        <v>5.5184251393883228E-2</v>
      </c>
      <c r="BU31" s="1">
        <v>205</v>
      </c>
      <c r="BV31" s="5">
        <f t="shared" si="95"/>
        <v>6.4516129032258063E-2</v>
      </c>
      <c r="BW31" s="141" t="s">
        <v>286</v>
      </c>
    </row>
    <row r="32" spans="1:75">
      <c r="M32" s="2" t="s">
        <v>287</v>
      </c>
      <c r="P32" s="2">
        <v>0</v>
      </c>
      <c r="Q32" s="2">
        <f t="shared" ref="Q32" si="99">SUM(N32:P32)</f>
        <v>0</v>
      </c>
      <c r="T32" s="5"/>
      <c r="X32" s="5" t="s">
        <v>243</v>
      </c>
      <c r="AB32" s="5"/>
      <c r="AC32" s="2">
        <f t="shared" ref="AC32" si="100">Q32-Z32</f>
        <v>0</v>
      </c>
      <c r="AD32">
        <v>515</v>
      </c>
      <c r="AE32" s="2">
        <f t="shared" ref="AE32" si="101">Z32/AD32</f>
        <v>0</v>
      </c>
      <c r="AF32" s="2">
        <f t="shared" ref="AF32" si="102">AA32/AD32</f>
        <v>0</v>
      </c>
      <c r="AG32" s="2">
        <v>846618</v>
      </c>
      <c r="AH32" s="1">
        <v>515</v>
      </c>
      <c r="AI32" s="2">
        <f>4697921+488194</f>
        <v>5186115</v>
      </c>
      <c r="AJ32" s="2">
        <f t="shared" si="10"/>
        <v>1643.9184466019417</v>
      </c>
      <c r="AK32" s="5">
        <f t="shared" si="11"/>
        <v>0.16324705487633806</v>
      </c>
      <c r="AL32" s="2">
        <v>0</v>
      </c>
      <c r="AM32" s="2">
        <v>130023.15</v>
      </c>
      <c r="AN32" s="2">
        <v>145478.28</v>
      </c>
      <c r="AO32" s="2">
        <f>170336</f>
        <v>170336</v>
      </c>
      <c r="AP32" s="2">
        <v>224838</v>
      </c>
      <c r="AQ32" s="2">
        <f t="shared" si="6"/>
        <v>670675.42999999993</v>
      </c>
      <c r="AR32" s="2">
        <f t="shared" si="30"/>
        <v>670675.42999999993</v>
      </c>
      <c r="AS32" s="2">
        <v>60000</v>
      </c>
      <c r="AT32" s="1">
        <v>364</v>
      </c>
      <c r="AU32" s="2">
        <v>5222501</v>
      </c>
      <c r="AV32" s="2">
        <f t="shared" si="12"/>
        <v>5557675</v>
      </c>
      <c r="AW32" s="2">
        <f t="shared" si="7"/>
        <v>1842.5149175824174</v>
      </c>
      <c r="AX32" s="5">
        <f t="shared" si="8"/>
        <v>0.12067553968161146</v>
      </c>
      <c r="AY32" s="5">
        <f t="shared" si="96"/>
        <v>0.14005711286906655</v>
      </c>
      <c r="AZ32" s="2">
        <f t="shared" si="13"/>
        <v>1085.6428571428571</v>
      </c>
      <c r="BA32" s="5">
        <f t="shared" si="14"/>
        <v>7.1104193750084338E-2</v>
      </c>
      <c r="BB32" s="2">
        <f t="shared" si="15"/>
        <v>756.87206043956041</v>
      </c>
      <c r="BC32" s="5">
        <f t="shared" si="16"/>
        <v>4.9571345931527122E-2</v>
      </c>
      <c r="BD32" s="5"/>
      <c r="BE32" s="5"/>
      <c r="BF32" s="2">
        <v>50269.42</v>
      </c>
      <c r="BG32" s="2">
        <v>239855</v>
      </c>
      <c r="BH32" s="2">
        <v>247992</v>
      </c>
      <c r="BI32" s="2">
        <v>96683.85</v>
      </c>
      <c r="BJ32" s="2">
        <v>109330.59</v>
      </c>
      <c r="BK32" s="2">
        <f t="shared" si="17"/>
        <v>744130.85999999987</v>
      </c>
      <c r="BL32" s="2">
        <v>741130</v>
      </c>
      <c r="BM32" s="1">
        <v>525</v>
      </c>
      <c r="BN32" s="2">
        <f>4803781+487846</f>
        <v>5291627</v>
      </c>
      <c r="BO32" s="2">
        <f t="shared" si="97"/>
        <v>1411.6761904761904</v>
      </c>
      <c r="BP32" s="5">
        <f t="shared" si="98"/>
        <v>0.14005711286906655</v>
      </c>
      <c r="BQ32" s="2">
        <f t="shared" si="18"/>
        <v>1024.9836571428571</v>
      </c>
      <c r="BR32" s="5">
        <f t="shared" si="19"/>
        <v>0.10169205425854845</v>
      </c>
      <c r="BS32" s="2">
        <f t="shared" si="20"/>
        <v>392.40845714285717</v>
      </c>
      <c r="BT32" s="5">
        <f t="shared" si="21"/>
        <v>3.8932154515048022E-2</v>
      </c>
      <c r="BU32" s="1">
        <v>560</v>
      </c>
      <c r="BV32" s="5">
        <f t="shared" si="95"/>
        <v>1.3333333333333332E-2</v>
      </c>
      <c r="BW32" t="s">
        <v>288</v>
      </c>
    </row>
    <row r="33" spans="1:75">
      <c r="A33" s="11" t="s">
        <v>289</v>
      </c>
      <c r="B33" s="21">
        <v>263156037</v>
      </c>
      <c r="C33" s="21">
        <v>236993090</v>
      </c>
      <c r="D33" s="21">
        <v>391370657</v>
      </c>
      <c r="E33" s="21">
        <v>177161240</v>
      </c>
      <c r="F33" s="21">
        <v>300000000</v>
      </c>
      <c r="G33" s="21">
        <v>300000000</v>
      </c>
      <c r="H33" s="21">
        <v>300000000</v>
      </c>
      <c r="I33" s="21">
        <v>300000000</v>
      </c>
      <c r="J33" s="21">
        <v>300000000</v>
      </c>
      <c r="K33" s="21">
        <f>AVERAGE(F33:J33)</f>
        <v>300000000</v>
      </c>
      <c r="M33" s="2" t="s">
        <v>290</v>
      </c>
      <c r="N33" s="2">
        <v>318097</v>
      </c>
      <c r="O33" s="2">
        <v>32218</v>
      </c>
      <c r="P33" s="2">
        <v>0</v>
      </c>
      <c r="Q33" s="2">
        <f t="shared" si="25"/>
        <v>350315</v>
      </c>
      <c r="S33" s="2">
        <v>1764195</v>
      </c>
      <c r="T33" s="5">
        <f t="shared" si="26"/>
        <v>0.19856931915122761</v>
      </c>
      <c r="U33" s="2">
        <f t="shared" si="22"/>
        <v>1652.4292452830189</v>
      </c>
      <c r="X33" s="5"/>
      <c r="Y33" s="2">
        <f t="shared" si="23"/>
        <v>8321.6745283018863</v>
      </c>
      <c r="Z33" s="2">
        <v>356067</v>
      </c>
      <c r="AA33" s="2">
        <v>2088127</v>
      </c>
      <c r="AB33" s="5">
        <f t="shared" si="27"/>
        <v>0.170519800759245</v>
      </c>
      <c r="AC33" s="2">
        <f t="shared" si="28"/>
        <v>-5752</v>
      </c>
      <c r="AD33">
        <v>212</v>
      </c>
      <c r="AE33" s="2">
        <f t="shared" si="29"/>
        <v>1679.5613207547169</v>
      </c>
      <c r="AF33" s="2">
        <f t="shared" si="24"/>
        <v>9849.6556603773588</v>
      </c>
      <c r="AG33" s="2">
        <v>352293.92</v>
      </c>
      <c r="AH33" s="1">
        <v>211</v>
      </c>
      <c r="AI33" s="2">
        <v>2049716.5799999998</v>
      </c>
      <c r="AJ33" s="2">
        <f t="shared" si="10"/>
        <v>1669.6394312796208</v>
      </c>
      <c r="AK33" s="5">
        <f t="shared" si="11"/>
        <v>0.17187445495513337</v>
      </c>
      <c r="AL33" s="2">
        <v>245690</v>
      </c>
      <c r="AM33" s="2">
        <v>39990</v>
      </c>
      <c r="AN33" s="2">
        <v>124794</v>
      </c>
      <c r="AO33" s="2">
        <v>0</v>
      </c>
      <c r="AP33" s="2">
        <v>0</v>
      </c>
      <c r="AQ33" s="2">
        <f t="shared" si="6"/>
        <v>410474</v>
      </c>
      <c r="AR33" s="2">
        <f t="shared" si="30"/>
        <v>410474</v>
      </c>
      <c r="AS33" s="2">
        <v>148004</v>
      </c>
      <c r="AT33" s="1">
        <v>187</v>
      </c>
      <c r="AU33" s="2">
        <v>3224676</v>
      </c>
      <c r="AV33" s="2">
        <f t="shared" si="12"/>
        <v>3076672</v>
      </c>
      <c r="AW33" s="2">
        <f t="shared" si="7"/>
        <v>2195.0481283422459</v>
      </c>
      <c r="AX33" s="5">
        <f t="shared" si="8"/>
        <v>0.13341493665883136</v>
      </c>
      <c r="AY33" s="5">
        <f t="shared" si="96"/>
        <v>0.16212326266045679</v>
      </c>
      <c r="AZ33" s="2">
        <f t="shared" si="13"/>
        <v>1313.8502673796791</v>
      </c>
      <c r="BA33" s="5">
        <f t="shared" si="14"/>
        <v>7.9855766230524414E-2</v>
      </c>
      <c r="BB33" s="2">
        <f t="shared" si="15"/>
        <v>881.19786096256689</v>
      </c>
      <c r="BC33" s="5">
        <f t="shared" si="16"/>
        <v>5.3559170428306949E-2</v>
      </c>
      <c r="BD33" s="5"/>
      <c r="BE33" s="5"/>
      <c r="BF33" s="2">
        <v>257808</v>
      </c>
      <c r="BG33" s="2">
        <v>0</v>
      </c>
      <c r="BH33" s="2">
        <v>0</v>
      </c>
      <c r="BI33" s="2">
        <v>33862</v>
      </c>
      <c r="BJ33" s="2">
        <v>102555</v>
      </c>
      <c r="BK33" s="2">
        <f t="shared" si="17"/>
        <v>394225</v>
      </c>
      <c r="BL33" s="2">
        <v>394224.89</v>
      </c>
      <c r="BM33" s="1">
        <v>251</v>
      </c>
      <c r="BN33" s="2">
        <v>2431636.79</v>
      </c>
      <c r="BO33" s="2">
        <f t="shared" si="97"/>
        <v>1570.6170916334661</v>
      </c>
      <c r="BP33" s="5">
        <f t="shared" si="98"/>
        <v>0.16212326266045679</v>
      </c>
      <c r="BQ33" s="2">
        <f t="shared" si="18"/>
        <v>1027.1235059760957</v>
      </c>
      <c r="BR33" s="5">
        <f t="shared" si="19"/>
        <v>0.1060224129936774</v>
      </c>
      <c r="BS33" s="2">
        <f t="shared" si="20"/>
        <v>543.49402390438252</v>
      </c>
      <c r="BT33" s="5">
        <f t="shared" si="21"/>
        <v>5.6100894903798521E-2</v>
      </c>
      <c r="BU33" s="1">
        <v>431</v>
      </c>
      <c r="BV33" s="5">
        <f t="shared" si="95"/>
        <v>0.14342629482071714</v>
      </c>
    </row>
    <row r="34" spans="1:75">
      <c r="A34" s="11" t="s">
        <v>291</v>
      </c>
      <c r="B34" s="21">
        <v>17246093</v>
      </c>
      <c r="C34" s="21">
        <v>12994853</v>
      </c>
      <c r="D34" s="21">
        <v>19803077</v>
      </c>
      <c r="E34" s="21">
        <v>15621459</v>
      </c>
      <c r="F34" s="21">
        <v>0</v>
      </c>
      <c r="G34" s="21">
        <v>0</v>
      </c>
      <c r="H34" s="21">
        <v>0</v>
      </c>
      <c r="I34" s="21">
        <v>0</v>
      </c>
      <c r="J34" s="21">
        <v>0</v>
      </c>
      <c r="K34" s="21">
        <f>AVERAGE(F34:J34)</f>
        <v>0</v>
      </c>
      <c r="M34" s="2" t="s">
        <v>292</v>
      </c>
      <c r="N34" s="2">
        <v>1106075</v>
      </c>
      <c r="O34" s="2">
        <v>63395</v>
      </c>
      <c r="P34" s="2">
        <v>0</v>
      </c>
      <c r="Q34" s="2">
        <f t="shared" si="25"/>
        <v>1169470</v>
      </c>
      <c r="S34" s="2">
        <v>6913141</v>
      </c>
      <c r="T34" s="5">
        <f t="shared" si="26"/>
        <v>0.16916622993802671</v>
      </c>
      <c r="U34" s="2">
        <f t="shared" si="22"/>
        <v>1883.2045088566829</v>
      </c>
      <c r="X34" s="5"/>
      <c r="Y34" s="2">
        <f t="shared" si="23"/>
        <v>11132.272141706924</v>
      </c>
      <c r="Z34" s="2">
        <v>1184038</v>
      </c>
      <c r="AA34" s="2">
        <v>6882158</v>
      </c>
      <c r="AB34" s="5">
        <f t="shared" si="27"/>
        <v>0.17204458252774785</v>
      </c>
      <c r="AC34" s="2">
        <f t="shared" si="28"/>
        <v>-14568</v>
      </c>
      <c r="AD34">
        <v>621</v>
      </c>
      <c r="AE34" s="2">
        <f t="shared" si="29"/>
        <v>1906.6634460547505</v>
      </c>
      <c r="AF34" s="2">
        <f t="shared" si="24"/>
        <v>11082.38003220612</v>
      </c>
      <c r="AG34" s="2">
        <v>1110352</v>
      </c>
      <c r="AH34" s="1">
        <v>621</v>
      </c>
      <c r="AI34" s="2">
        <v>6895384</v>
      </c>
      <c r="AJ34" s="2">
        <f t="shared" si="10"/>
        <v>1788.0064412238326</v>
      </c>
      <c r="AK34" s="5">
        <f t="shared" si="11"/>
        <v>0.16102830531265555</v>
      </c>
      <c r="AL34" s="2">
        <v>837618</v>
      </c>
      <c r="AM34" s="2">
        <v>65058</v>
      </c>
      <c r="AN34" s="2">
        <v>403686</v>
      </c>
      <c r="AO34" s="2">
        <v>0</v>
      </c>
      <c r="AP34" s="2">
        <v>0</v>
      </c>
      <c r="AQ34" s="2">
        <f t="shared" si="6"/>
        <v>1306362</v>
      </c>
      <c r="AR34" s="2">
        <f t="shared" si="30"/>
        <v>1306362</v>
      </c>
      <c r="AS34" s="2">
        <v>0</v>
      </c>
      <c r="AT34" s="1">
        <v>548</v>
      </c>
      <c r="AU34" s="2">
        <v>8460888</v>
      </c>
      <c r="AV34" s="2">
        <f t="shared" si="12"/>
        <v>8460888</v>
      </c>
      <c r="AW34" s="2">
        <f t="shared" si="7"/>
        <v>2383.8722627737225</v>
      </c>
      <c r="AX34" s="5">
        <f t="shared" si="8"/>
        <v>0.15440010552083894</v>
      </c>
      <c r="AY34" s="5">
        <f t="shared" si="96"/>
        <v>0.16251663729208465</v>
      </c>
      <c r="AZ34" s="2">
        <f t="shared" si="13"/>
        <v>1528.5</v>
      </c>
      <c r="BA34" s="5">
        <f t="shared" si="14"/>
        <v>9.8998828491761143E-2</v>
      </c>
      <c r="BB34" s="2">
        <f t="shared" si="15"/>
        <v>855.37226277372258</v>
      </c>
      <c r="BC34" s="5">
        <f t="shared" si="16"/>
        <v>5.5401277029077801E-2</v>
      </c>
      <c r="BD34" s="5"/>
      <c r="BE34" s="5"/>
      <c r="BF34" s="2">
        <v>835717</v>
      </c>
      <c r="BG34" s="2">
        <v>0</v>
      </c>
      <c r="BH34" s="2">
        <v>0</v>
      </c>
      <c r="BI34" s="2">
        <v>48117</v>
      </c>
      <c r="BJ34" s="2">
        <v>295800</v>
      </c>
      <c r="BK34" s="2">
        <f t="shared" si="17"/>
        <v>1179634</v>
      </c>
      <c r="BL34" s="2">
        <v>1179634</v>
      </c>
      <c r="BM34" s="1">
        <v>580</v>
      </c>
      <c r="BN34" s="2">
        <v>7258543</v>
      </c>
      <c r="BO34" s="2">
        <f t="shared" si="97"/>
        <v>2033.8517241379311</v>
      </c>
      <c r="BP34" s="5">
        <f t="shared" si="98"/>
        <v>0.16251663729208465</v>
      </c>
      <c r="BQ34" s="2">
        <f t="shared" si="18"/>
        <v>1440.8913793103447</v>
      </c>
      <c r="BR34" s="5">
        <f t="shared" si="19"/>
        <v>0.11513564085795179</v>
      </c>
      <c r="BS34" s="2">
        <f t="shared" si="20"/>
        <v>592.96034482758625</v>
      </c>
      <c r="BT34" s="5">
        <f t="shared" si="21"/>
        <v>4.7380996434132856E-2</v>
      </c>
      <c r="BU34" s="1">
        <v>612</v>
      </c>
      <c r="BV34" s="5">
        <f t="shared" si="95"/>
        <v>1.1034482758620689E-2</v>
      </c>
    </row>
    <row r="35" spans="1:75">
      <c r="A35" s="11" t="s">
        <v>293</v>
      </c>
      <c r="B35" s="21"/>
      <c r="C35" s="21">
        <v>7797651</v>
      </c>
      <c r="D35" s="21">
        <v>5132669</v>
      </c>
      <c r="E35" s="21">
        <v>3081479</v>
      </c>
      <c r="F35" s="21">
        <v>0</v>
      </c>
      <c r="G35" s="21">
        <v>0</v>
      </c>
      <c r="H35" s="21">
        <v>0</v>
      </c>
      <c r="I35" s="21">
        <v>0</v>
      </c>
      <c r="J35" s="21">
        <v>0</v>
      </c>
      <c r="K35" s="21">
        <f>AVERAGE(F35:J35)</f>
        <v>0</v>
      </c>
      <c r="M35" s="2" t="s">
        <v>294</v>
      </c>
      <c r="N35" s="2">
        <v>193343</v>
      </c>
      <c r="O35" s="2">
        <v>0</v>
      </c>
      <c r="P35" s="2">
        <v>0</v>
      </c>
      <c r="Q35" s="2">
        <f t="shared" si="25"/>
        <v>193343</v>
      </c>
      <c r="S35" s="2">
        <v>2123872</v>
      </c>
      <c r="T35" s="5">
        <f t="shared" si="26"/>
        <v>9.1033263774841416E-2</v>
      </c>
      <c r="U35" s="2">
        <f t="shared" si="22"/>
        <v>1215.9937106918239</v>
      </c>
      <c r="Y35" s="2">
        <f t="shared" si="23"/>
        <v>13357.685534591195</v>
      </c>
      <c r="Z35" s="2">
        <v>188728</v>
      </c>
      <c r="AA35" s="2">
        <v>2034644</v>
      </c>
      <c r="AB35" s="5">
        <f t="shared" si="27"/>
        <v>9.2757258763695269E-2</v>
      </c>
      <c r="AC35" s="2">
        <f t="shared" si="28"/>
        <v>4615</v>
      </c>
      <c r="AD35">
        <v>159</v>
      </c>
      <c r="AE35" s="2">
        <f t="shared" si="29"/>
        <v>1186.9685534591194</v>
      </c>
      <c r="AF35" s="2">
        <f t="shared" si="24"/>
        <v>12796.503144654089</v>
      </c>
      <c r="AG35" s="2">
        <v>193344</v>
      </c>
      <c r="AH35" s="1">
        <v>159</v>
      </c>
      <c r="AI35" s="2">
        <v>2018040.52</v>
      </c>
      <c r="AJ35" s="2">
        <f t="shared" si="10"/>
        <v>1216</v>
      </c>
      <c r="AK35" s="5">
        <f t="shared" si="11"/>
        <v>9.5807788834686033E-2</v>
      </c>
      <c r="AL35" s="2">
        <v>172360</v>
      </c>
      <c r="AM35" s="2">
        <v>26350</v>
      </c>
      <c r="AN35" s="2">
        <v>80201</v>
      </c>
      <c r="AO35" s="2">
        <v>0</v>
      </c>
      <c r="AP35" s="2">
        <v>0</v>
      </c>
      <c r="AQ35" s="2">
        <f t="shared" si="6"/>
        <v>278911</v>
      </c>
      <c r="AR35" s="2">
        <f t="shared" si="30"/>
        <v>278911</v>
      </c>
      <c r="AS35" s="2">
        <v>161185</v>
      </c>
      <c r="AT35" s="1">
        <v>264</v>
      </c>
      <c r="AU35" s="2">
        <v>3263092</v>
      </c>
      <c r="AV35" s="2">
        <f t="shared" si="12"/>
        <v>3101907</v>
      </c>
      <c r="AW35" s="2">
        <f t="shared" si="7"/>
        <v>1056.4810606060605</v>
      </c>
      <c r="AX35" s="5">
        <f t="shared" si="8"/>
        <v>8.9915977493844917E-2</v>
      </c>
      <c r="AY35" s="5">
        <f t="shared" si="96"/>
        <v>0.13626190487153741</v>
      </c>
      <c r="AZ35" s="2">
        <f t="shared" si="13"/>
        <v>652.87878787878788</v>
      </c>
      <c r="BA35" s="5">
        <f t="shared" si="14"/>
        <v>5.5565818059664589E-2</v>
      </c>
      <c r="BB35" s="2">
        <f t="shared" si="15"/>
        <v>403.60227272727275</v>
      </c>
      <c r="BC35" s="5">
        <f t="shared" si="16"/>
        <v>3.4350159434180329E-2</v>
      </c>
      <c r="BD35" s="5"/>
      <c r="BE35" s="5"/>
      <c r="BF35" s="2">
        <v>160842</v>
      </c>
      <c r="BG35" s="2">
        <v>0</v>
      </c>
      <c r="BH35" s="2">
        <v>0</v>
      </c>
      <c r="BI35" s="2">
        <v>28719</v>
      </c>
      <c r="BJ35" s="2">
        <v>46885</v>
      </c>
      <c r="BK35" s="2">
        <f t="shared" si="17"/>
        <v>236446</v>
      </c>
      <c r="BL35" s="2">
        <v>236446</v>
      </c>
      <c r="BM35" s="1">
        <v>148</v>
      </c>
      <c r="BN35" s="2">
        <v>1735231.87</v>
      </c>
      <c r="BO35" s="2">
        <f t="shared" si="97"/>
        <v>1597.6081081081081</v>
      </c>
      <c r="BP35" s="5">
        <f t="shared" si="98"/>
        <v>0.13626190487153741</v>
      </c>
      <c r="BQ35" s="2">
        <f t="shared" si="18"/>
        <v>1086.7702702702702</v>
      </c>
      <c r="BR35" s="5">
        <f t="shared" si="19"/>
        <v>9.2691935170600565E-2</v>
      </c>
      <c r="BS35" s="2">
        <f t="shared" si="20"/>
        <v>510.83783783783781</v>
      </c>
      <c r="BT35" s="5">
        <f t="shared" si="21"/>
        <v>4.356996970093685E-2</v>
      </c>
      <c r="BU35" s="1">
        <v>210</v>
      </c>
      <c r="BV35" s="5">
        <f t="shared" si="95"/>
        <v>8.3783783783783788E-2</v>
      </c>
      <c r="BW35" s="141" t="s">
        <v>286</v>
      </c>
    </row>
    <row r="36" spans="1:75">
      <c r="A36" s="11" t="s">
        <v>187</v>
      </c>
      <c r="B36" s="21">
        <f>SUM(B33:B35)</f>
        <v>280402130</v>
      </c>
      <c r="C36" s="21">
        <f t="shared" ref="C36:J36" si="103">SUM(C33:C35)</f>
        <v>257785594</v>
      </c>
      <c r="D36" s="21">
        <f t="shared" si="103"/>
        <v>416306403</v>
      </c>
      <c r="E36" s="21">
        <f t="shared" si="103"/>
        <v>195864178</v>
      </c>
      <c r="F36" s="21">
        <f t="shared" si="103"/>
        <v>300000000</v>
      </c>
      <c r="G36" s="21">
        <f t="shared" si="103"/>
        <v>300000000</v>
      </c>
      <c r="H36" s="21">
        <f t="shared" si="103"/>
        <v>300000000</v>
      </c>
      <c r="I36" s="21">
        <f t="shared" si="103"/>
        <v>300000000</v>
      </c>
      <c r="J36" s="21">
        <f t="shared" si="103"/>
        <v>300000000</v>
      </c>
      <c r="K36" s="21">
        <f t="shared" ref="K36" si="104">SUM(K33:K35)</f>
        <v>300000000</v>
      </c>
      <c r="M36" s="2" t="s">
        <v>295</v>
      </c>
      <c r="N36" s="2">
        <v>354349</v>
      </c>
      <c r="O36" s="2">
        <v>0</v>
      </c>
      <c r="P36" s="2">
        <v>0</v>
      </c>
      <c r="Q36" s="2">
        <f t="shared" si="25"/>
        <v>354349</v>
      </c>
      <c r="S36" s="2">
        <v>1838906</v>
      </c>
      <c r="T36" s="5">
        <f t="shared" si="26"/>
        <v>0.19269554833145358</v>
      </c>
      <c r="U36" s="2">
        <f t="shared" si="22"/>
        <v>1817.1743589743589</v>
      </c>
      <c r="Y36" s="2">
        <f t="shared" si="23"/>
        <v>9430.2871794871789</v>
      </c>
      <c r="Z36" s="2">
        <v>345902</v>
      </c>
      <c r="AA36" s="2">
        <v>1847758</v>
      </c>
      <c r="AB36" s="5">
        <f t="shared" si="27"/>
        <v>0.18720092133277194</v>
      </c>
      <c r="AC36" s="2">
        <f t="shared" si="28"/>
        <v>8447</v>
      </c>
      <c r="AD36">
        <v>195</v>
      </c>
      <c r="AE36" s="2">
        <f t="shared" si="29"/>
        <v>1773.8564102564103</v>
      </c>
      <c r="AF36" s="2">
        <f t="shared" si="24"/>
        <v>9475.6820512820505</v>
      </c>
      <c r="AG36" s="2">
        <v>354349</v>
      </c>
      <c r="AH36" s="1">
        <v>196</v>
      </c>
      <c r="AI36" s="2">
        <v>1845518.82</v>
      </c>
      <c r="AJ36" s="2">
        <f t="shared" si="10"/>
        <v>1807.9030612244899</v>
      </c>
      <c r="AK36" s="5">
        <f t="shared" si="11"/>
        <v>0.19200508613615763</v>
      </c>
      <c r="AL36" s="2">
        <v>198000</v>
      </c>
      <c r="AM36" s="2">
        <v>26000</v>
      </c>
      <c r="AN36" s="2">
        <v>162518</v>
      </c>
      <c r="AO36" s="2">
        <v>0</v>
      </c>
      <c r="AP36" s="2">
        <v>0</v>
      </c>
      <c r="AQ36" s="2">
        <f t="shared" si="6"/>
        <v>386518</v>
      </c>
      <c r="AR36" s="2">
        <f t="shared" si="30"/>
        <v>386518</v>
      </c>
      <c r="AS36" s="2">
        <v>0</v>
      </c>
      <c r="AT36" s="1">
        <v>240</v>
      </c>
      <c r="AU36" s="2">
        <v>3158341</v>
      </c>
      <c r="AV36" s="2">
        <f t="shared" si="12"/>
        <v>3158341</v>
      </c>
      <c r="AW36" s="2">
        <f t="shared" si="7"/>
        <v>1610.4916666666666</v>
      </c>
      <c r="AX36" s="5">
        <f t="shared" si="8"/>
        <v>0.12238007232277959</v>
      </c>
      <c r="AY36" s="5">
        <f t="shared" si="96"/>
        <v>0.13252233414205111</v>
      </c>
      <c r="AZ36" s="2">
        <f t="shared" si="13"/>
        <v>825</v>
      </c>
      <c r="BA36" s="5">
        <f t="shared" si="14"/>
        <v>6.2691140696967171E-2</v>
      </c>
      <c r="BB36" s="2">
        <f t="shared" si="15"/>
        <v>785.49166666666667</v>
      </c>
      <c r="BC36" s="5">
        <f t="shared" si="16"/>
        <v>5.9688931625812409E-2</v>
      </c>
      <c r="BD36" s="5"/>
      <c r="BE36" s="5"/>
      <c r="BF36" s="2">
        <v>198000</v>
      </c>
      <c r="BG36" s="2">
        <v>0</v>
      </c>
      <c r="BH36" s="2">
        <v>0</v>
      </c>
      <c r="BI36" s="2">
        <v>20230</v>
      </c>
      <c r="BJ36" s="2">
        <v>118681</v>
      </c>
      <c r="BK36" s="2">
        <f t="shared" si="17"/>
        <v>336911</v>
      </c>
      <c r="BL36" s="2">
        <v>336911</v>
      </c>
      <c r="BM36" s="1">
        <v>218</v>
      </c>
      <c r="BN36" s="2">
        <v>2542296</v>
      </c>
      <c r="BO36" s="2">
        <f t="shared" si="97"/>
        <v>1545.4633027522937</v>
      </c>
      <c r="BP36" s="5">
        <f t="shared" si="98"/>
        <v>0.13252233414205111</v>
      </c>
      <c r="BQ36" s="2">
        <f t="shared" si="18"/>
        <v>908.25688073394497</v>
      </c>
      <c r="BR36" s="5">
        <f t="shared" si="19"/>
        <v>7.7882355162420105E-2</v>
      </c>
      <c r="BS36" s="2">
        <f t="shared" si="20"/>
        <v>637.20642201834858</v>
      </c>
      <c r="BT36" s="5">
        <f t="shared" si="21"/>
        <v>5.4639978979631014E-2</v>
      </c>
      <c r="BU36" s="1">
        <v>225</v>
      </c>
      <c r="BV36" s="5">
        <f t="shared" si="95"/>
        <v>6.4220183486238536E-3</v>
      </c>
    </row>
    <row r="37" spans="1:75">
      <c r="M37" s="2" t="s">
        <v>296</v>
      </c>
      <c r="N37" s="2">
        <v>171527</v>
      </c>
      <c r="O37" s="2">
        <v>0</v>
      </c>
      <c r="P37" s="2">
        <v>0</v>
      </c>
      <c r="Q37" s="2">
        <f t="shared" si="25"/>
        <v>171527</v>
      </c>
      <c r="S37" s="2">
        <v>635675</v>
      </c>
      <c r="T37" s="5">
        <f t="shared" si="26"/>
        <v>0.2698344279702678</v>
      </c>
      <c r="U37" s="2">
        <f t="shared" si="22"/>
        <v>2066.5903614457829</v>
      </c>
      <c r="Y37" s="2">
        <f t="shared" si="23"/>
        <v>7658.734939759036</v>
      </c>
      <c r="Z37" s="2">
        <v>166088</v>
      </c>
      <c r="AA37" s="2">
        <v>923585</v>
      </c>
      <c r="AB37" s="5">
        <f t="shared" si="27"/>
        <v>0.17982968541065522</v>
      </c>
      <c r="AC37" s="2">
        <f t="shared" si="28"/>
        <v>5439</v>
      </c>
      <c r="AD37">
        <v>83</v>
      </c>
      <c r="AE37" s="2">
        <f t="shared" si="29"/>
        <v>2001.0602409638554</v>
      </c>
      <c r="AF37" s="2">
        <f t="shared" si="24"/>
        <v>11127.530120481928</v>
      </c>
      <c r="AG37" s="2">
        <v>171527.67999999999</v>
      </c>
      <c r="AH37" s="1">
        <v>80</v>
      </c>
      <c r="AI37" s="2">
        <v>857060.56</v>
      </c>
      <c r="AJ37" s="2">
        <f t="shared" si="10"/>
        <v>2144.096</v>
      </c>
      <c r="AK37" s="5">
        <f t="shared" si="11"/>
        <v>0.20013484227999009</v>
      </c>
      <c r="AL37" s="2">
        <v>84000</v>
      </c>
      <c r="AM37" s="2">
        <v>0</v>
      </c>
      <c r="AN37" s="2">
        <v>31214</v>
      </c>
      <c r="AO37" s="2">
        <v>0</v>
      </c>
      <c r="AP37" s="2">
        <v>0</v>
      </c>
      <c r="AQ37" s="2">
        <f t="shared" si="6"/>
        <v>115214</v>
      </c>
      <c r="AR37" s="2">
        <f t="shared" si="30"/>
        <v>115214</v>
      </c>
      <c r="AS37" s="2">
        <v>77601</v>
      </c>
      <c r="AT37" s="1">
        <v>51</v>
      </c>
      <c r="AU37" s="2">
        <v>1136385</v>
      </c>
      <c r="AV37" s="2">
        <f t="shared" si="12"/>
        <v>1058784</v>
      </c>
      <c r="AW37" s="2">
        <f t="shared" si="7"/>
        <v>2259.0980392156862</v>
      </c>
      <c r="AX37" s="5">
        <f t="shared" si="8"/>
        <v>0.10881728473418563</v>
      </c>
      <c r="AY37" s="5">
        <f t="shared" si="96"/>
        <v>0.14301334079780104</v>
      </c>
      <c r="AZ37" s="2">
        <f t="shared" si="13"/>
        <v>1647.0588235294117</v>
      </c>
      <c r="BA37" s="5">
        <f t="shared" si="14"/>
        <v>7.933629522168828E-2</v>
      </c>
      <c r="BB37" s="2">
        <f t="shared" si="15"/>
        <v>612.03921568627447</v>
      </c>
      <c r="BC37" s="5">
        <f t="shared" si="16"/>
        <v>2.9480989512497356E-2</v>
      </c>
      <c r="BD37" s="5"/>
      <c r="BE37" s="5"/>
      <c r="BF37" s="2">
        <v>114747</v>
      </c>
      <c r="BG37" s="2">
        <v>0</v>
      </c>
      <c r="BH37" s="2">
        <v>0</v>
      </c>
      <c r="BI37" s="2">
        <v>9099</v>
      </c>
      <c r="BJ37" s="2">
        <v>33561</v>
      </c>
      <c r="BK37" s="2">
        <f t="shared" si="17"/>
        <v>157407</v>
      </c>
      <c r="BL37" s="2">
        <v>157407</v>
      </c>
      <c r="BM37" s="1">
        <v>84</v>
      </c>
      <c r="BN37" s="2">
        <v>1100645.57</v>
      </c>
      <c r="BO37" s="2">
        <f t="shared" si="97"/>
        <v>1873.8928571428571</v>
      </c>
      <c r="BP37" s="5">
        <f t="shared" si="98"/>
        <v>0.14301334079780104</v>
      </c>
      <c r="BQ37" s="2">
        <f t="shared" si="18"/>
        <v>1366.0357142857142</v>
      </c>
      <c r="BR37" s="5">
        <f t="shared" si="19"/>
        <v>0.10425426961015252</v>
      </c>
      <c r="BS37" s="2">
        <f t="shared" si="20"/>
        <v>507.85714285714283</v>
      </c>
      <c r="BT37" s="5">
        <f t="shared" si="21"/>
        <v>3.8759071187648535E-2</v>
      </c>
      <c r="BU37" s="1">
        <v>125</v>
      </c>
      <c r="BV37" s="5">
        <f t="shared" si="95"/>
        <v>9.7619047619047619E-2</v>
      </c>
    </row>
    <row r="38" spans="1:75">
      <c r="A38" t="s">
        <v>297</v>
      </c>
      <c r="B38">
        <f>(40000)*286.69/500</f>
        <v>22935.200000000001</v>
      </c>
      <c r="C38">
        <f>((67951+91650)/2)*357.56/((451+650)/2)</f>
        <v>51831.91059037239</v>
      </c>
      <c r="D38">
        <f>((100000+91650)/2)*356.61/((651+709)/2)</f>
        <v>50253.166544117645</v>
      </c>
      <c r="E38">
        <f>AVERAGE(C38:D38)</f>
        <v>51042.538567245021</v>
      </c>
      <c r="M38" s="2" t="s">
        <v>298</v>
      </c>
      <c r="N38" s="2">
        <f>27902+157344</f>
        <v>185246</v>
      </c>
      <c r="O38" s="2">
        <v>66107</v>
      </c>
      <c r="P38" s="2">
        <v>0</v>
      </c>
      <c r="Q38" s="2">
        <f t="shared" si="25"/>
        <v>251353</v>
      </c>
      <c r="S38" s="2">
        <v>1738614</v>
      </c>
      <c r="T38" s="5">
        <f t="shared" si="26"/>
        <v>0.14457090533033784</v>
      </c>
      <c r="U38" s="2">
        <f t="shared" si="22"/>
        <v>1698.331081081081</v>
      </c>
      <c r="Y38" s="2">
        <f t="shared" si="23"/>
        <v>11747.391891891892</v>
      </c>
      <c r="AD38">
        <v>148</v>
      </c>
      <c r="AG38" s="2">
        <v>288908.55613700504</v>
      </c>
      <c r="AH38" s="1">
        <v>144</v>
      </c>
      <c r="AI38" s="2">
        <v>1619694</v>
      </c>
      <c r="AJ38" s="2">
        <f t="shared" si="10"/>
        <v>2006.3094176180905</v>
      </c>
      <c r="AK38" s="5">
        <f t="shared" si="11"/>
        <v>0.17837230744634791</v>
      </c>
      <c r="AL38" s="2">
        <v>248840</v>
      </c>
      <c r="AM38" s="2">
        <v>60613</v>
      </c>
      <c r="AN38" s="2">
        <v>0</v>
      </c>
      <c r="AO38" s="2">
        <v>0</v>
      </c>
      <c r="AP38" s="2">
        <v>0</v>
      </c>
      <c r="AQ38" s="2">
        <f t="shared" si="6"/>
        <v>309453</v>
      </c>
      <c r="AR38" s="2">
        <f t="shared" si="30"/>
        <v>309453</v>
      </c>
      <c r="AS38" s="2">
        <v>0</v>
      </c>
      <c r="AT38" s="1">
        <v>135</v>
      </c>
      <c r="AU38" s="2">
        <v>2014631</v>
      </c>
      <c r="AV38" s="2">
        <f t="shared" si="12"/>
        <v>2014631</v>
      </c>
      <c r="AW38" s="2">
        <f t="shared" si="7"/>
        <v>2292.2444444444445</v>
      </c>
      <c r="AX38" s="5">
        <f t="shared" si="8"/>
        <v>0.1536028185806731</v>
      </c>
      <c r="AY38" s="5">
        <f t="shared" si="96"/>
        <v>0.1769141072889828</v>
      </c>
      <c r="AZ38" s="2">
        <f t="shared" si="13"/>
        <v>1843.2592592592594</v>
      </c>
      <c r="BA38" s="5">
        <f t="shared" si="14"/>
        <v>0.12351641566123027</v>
      </c>
      <c r="BB38" s="2">
        <f t="shared" si="15"/>
        <v>448.98518518518517</v>
      </c>
      <c r="BC38" s="5">
        <f t="shared" si="16"/>
        <v>3.0086402919442815E-2</v>
      </c>
      <c r="BD38" s="5"/>
      <c r="BE38" s="5"/>
      <c r="BF38" s="2">
        <v>243500</v>
      </c>
      <c r="BG38" s="2">
        <v>0</v>
      </c>
      <c r="BH38" s="2">
        <v>0</v>
      </c>
      <c r="BI38" s="2">
        <v>47500</v>
      </c>
      <c r="BJ38" s="2">
        <v>0</v>
      </c>
      <c r="BK38" s="2">
        <f t="shared" si="17"/>
        <v>291000</v>
      </c>
      <c r="BL38" s="2">
        <v>291000</v>
      </c>
      <c r="BM38" s="1">
        <v>144</v>
      </c>
      <c r="BN38" s="2">
        <v>1644866</v>
      </c>
      <c r="BO38" s="2">
        <f t="shared" si="97"/>
        <v>2020.8333333333333</v>
      </c>
      <c r="BP38" s="5">
        <f t="shared" si="98"/>
        <v>0.1769141072889828</v>
      </c>
      <c r="BQ38" s="2">
        <f t="shared" si="18"/>
        <v>1690.9722222222222</v>
      </c>
      <c r="BR38" s="5">
        <f t="shared" si="19"/>
        <v>0.14803637499954403</v>
      </c>
      <c r="BS38" s="2">
        <f t="shared" si="20"/>
        <v>329.86111111111109</v>
      </c>
      <c r="BT38" s="5">
        <f t="shared" si="21"/>
        <v>2.8877732289438775E-2</v>
      </c>
      <c r="BU38" s="1">
        <v>220</v>
      </c>
      <c r="BV38" s="5">
        <f t="shared" si="95"/>
        <v>0.10555555555555556</v>
      </c>
    </row>
    <row r="39" spans="1:75">
      <c r="B39">
        <f>2000000/300</f>
        <v>6666.666666666667</v>
      </c>
      <c r="M39" t="s">
        <v>299</v>
      </c>
      <c r="AG39" s="2">
        <v>182698.24000000002</v>
      </c>
      <c r="AH39" s="1">
        <v>166</v>
      </c>
      <c r="AI39" s="2">
        <v>1881079.4899999998</v>
      </c>
      <c r="AJ39" s="2">
        <f t="shared" si="10"/>
        <v>1100.5918072289157</v>
      </c>
      <c r="AK39" s="5">
        <f t="shared" si="11"/>
        <v>9.7124146518656709E-2</v>
      </c>
      <c r="AL39" s="2">
        <v>158208</v>
      </c>
      <c r="AM39" s="2">
        <v>44945</v>
      </c>
      <c r="AN39" s="2">
        <v>120955</v>
      </c>
      <c r="AO39" s="2">
        <v>0</v>
      </c>
      <c r="AP39" s="2">
        <v>18750</v>
      </c>
      <c r="AQ39" s="2">
        <f t="shared" si="6"/>
        <v>342858</v>
      </c>
      <c r="AR39" s="2">
        <f t="shared" si="30"/>
        <v>342858</v>
      </c>
      <c r="AS39" s="2">
        <v>39758</v>
      </c>
      <c r="AT39" s="1">
        <v>227</v>
      </c>
      <c r="AU39" s="2">
        <v>2695845</v>
      </c>
      <c r="AV39" s="2">
        <f t="shared" si="12"/>
        <v>2674837</v>
      </c>
      <c r="AW39" s="2">
        <f t="shared" si="7"/>
        <v>1510.387665198238</v>
      </c>
      <c r="AX39" s="5">
        <f t="shared" si="8"/>
        <v>0.12817902548828208</v>
      </c>
      <c r="AY39" s="5">
        <f t="shared" si="96"/>
        <v>0.13994621952245054</v>
      </c>
      <c r="AZ39" s="2">
        <f t="shared" si="13"/>
        <v>779.55066079295159</v>
      </c>
      <c r="BA39" s="5">
        <f t="shared" si="14"/>
        <v>6.6156554586316849E-2</v>
      </c>
      <c r="BB39" s="2">
        <f t="shared" si="15"/>
        <v>730.83700440528639</v>
      </c>
      <c r="BC39" s="5">
        <f t="shared" si="16"/>
        <v>6.2022470901965242E-2</v>
      </c>
      <c r="BD39" s="5"/>
      <c r="BE39" s="5"/>
      <c r="BF39" s="2">
        <v>116035</v>
      </c>
      <c r="BG39" s="2">
        <v>0</v>
      </c>
      <c r="BH39" s="2">
        <v>0</v>
      </c>
      <c r="BI39" s="2">
        <v>41609</v>
      </c>
      <c r="BJ39" s="2">
        <v>108388</v>
      </c>
      <c r="BK39" s="2">
        <f t="shared" si="17"/>
        <v>266032</v>
      </c>
      <c r="BL39" s="2">
        <v>266031.81</v>
      </c>
      <c r="BM39" s="1">
        <v>183</v>
      </c>
      <c r="BN39" s="2">
        <v>1900957.46</v>
      </c>
      <c r="BO39" s="2">
        <f t="shared" si="97"/>
        <v>1453.7257377049179</v>
      </c>
      <c r="BP39" s="5">
        <f t="shared" si="98"/>
        <v>0.13994621952245054</v>
      </c>
      <c r="BQ39" s="2">
        <f t="shared" si="18"/>
        <v>634.07103825136608</v>
      </c>
      <c r="BR39" s="5">
        <f t="shared" si="19"/>
        <v>6.1040292821702598E-2</v>
      </c>
      <c r="BS39" s="2">
        <f t="shared" si="20"/>
        <v>819.65573770491801</v>
      </c>
      <c r="BT39" s="5">
        <f t="shared" si="21"/>
        <v>7.8906026650380698E-2</v>
      </c>
      <c r="BU39" s="1">
        <v>305</v>
      </c>
      <c r="BV39" s="5">
        <f t="shared" si="95"/>
        <v>0.13333333333333333</v>
      </c>
    </row>
    <row r="40" spans="1:75">
      <c r="AY40" s="5"/>
      <c r="BD40" s="5"/>
    </row>
    <row r="41" spans="1:75">
      <c r="A41" t="s">
        <v>300</v>
      </c>
      <c r="B41">
        <f>(500000+300000+4500000)/315</f>
        <v>16825.396825396827</v>
      </c>
      <c r="M41" s="2" t="s">
        <v>301</v>
      </c>
      <c r="S41" s="2" t="s">
        <v>189</v>
      </c>
      <c r="T41" s="5">
        <f>AVERAGE(T6:T40)</f>
        <v>0.14606427170118483</v>
      </c>
      <c r="U41" s="2">
        <f>AVERAGE(U6:U40)</f>
        <v>1544.0151691062144</v>
      </c>
      <c r="Y41" s="2">
        <f>AVERAGE(Y6:Y40)</f>
        <v>10801.458228583284</v>
      </c>
      <c r="AB41" s="5">
        <f>AVERAGE(AB6:AB40)</f>
        <v>0.15245876944487072</v>
      </c>
      <c r="AE41" s="2">
        <f>AVERAGE(AE6:AE40)</f>
        <v>1569.4532608440966</v>
      </c>
      <c r="AF41" s="2">
        <f>AVERAGE(AF6:AF40)</f>
        <v>10456.482455134344</v>
      </c>
      <c r="AH41" s="1">
        <f>SUM(AH6:AH40)</f>
        <v>9265</v>
      </c>
      <c r="AI41" s="2">
        <f>SUM(AI6:AI40)</f>
        <v>102182381.064</v>
      </c>
      <c r="AJ41" s="2">
        <f>AVERAGE(AJ6:AJ40)</f>
        <v>1850.9801284133259</v>
      </c>
      <c r="AK41" s="5">
        <f>AVERAGE(AK6:AK40)</f>
        <v>0.16406392288170313</v>
      </c>
      <c r="AL41" s="2">
        <f t="shared" ref="AL41:AS41" si="105">AVERAGE(AL5:AL40)</f>
        <v>262211.45382352942</v>
      </c>
      <c r="AM41" s="2">
        <f t="shared" si="105"/>
        <v>61024.367176470587</v>
      </c>
      <c r="AN41" s="2">
        <f t="shared" si="105"/>
        <v>160550.73294117648</v>
      </c>
      <c r="AO41" s="2">
        <f t="shared" si="105"/>
        <v>40247.770882352939</v>
      </c>
      <c r="AP41" s="2">
        <f t="shared" si="105"/>
        <v>31631.327000000001</v>
      </c>
      <c r="AQ41" s="2">
        <f t="shared" si="105"/>
        <v>555665.65182352939</v>
      </c>
      <c r="AR41" s="2">
        <f t="shared" si="105"/>
        <v>555665.65182352939</v>
      </c>
      <c r="AS41" s="2">
        <f t="shared" si="105"/>
        <v>241528.02205882352</v>
      </c>
      <c r="AT41" s="1">
        <f>SUM(AT5:AT40)</f>
        <v>10889</v>
      </c>
      <c r="AU41" s="2">
        <f>SUM(AU5:AU40)</f>
        <v>163905292.67000002</v>
      </c>
      <c r="AV41" s="2">
        <f>SUM(AV5:AV40)</f>
        <v>158137229.248</v>
      </c>
      <c r="AW41" s="143">
        <f>AVERAGE(AW5:AW40)</f>
        <v>1926.6220956264033</v>
      </c>
      <c r="AX41" s="5">
        <f>AVERAGE(AX5:AX40)</f>
        <v>0.1345735748128952</v>
      </c>
      <c r="AY41" s="5">
        <f>BP41</f>
        <v>0.15624740449448493</v>
      </c>
      <c r="AZ41" s="2">
        <f t="shared" ref="AZ41:BC41" si="106">AVERAGE(AZ5:AZ40)</f>
        <v>1205.9026541143223</v>
      </c>
      <c r="BA41" s="5">
        <f t="shared" si="106"/>
        <v>8.3888928931441828E-2</v>
      </c>
      <c r="BB41" s="2">
        <f t="shared" si="106"/>
        <v>720.71944151208106</v>
      </c>
      <c r="BC41" s="5">
        <f t="shared" si="106"/>
        <v>5.0684645881453411E-2</v>
      </c>
      <c r="BD41" s="5"/>
      <c r="BE41" s="5"/>
      <c r="BF41" s="2">
        <f t="shared" ref="BF41:BK41" si="107">AVERAGE(BF5:BF40)</f>
        <v>264785.8773529412</v>
      </c>
      <c r="BG41" s="2">
        <f t="shared" si="107"/>
        <v>69668.588235294112</v>
      </c>
      <c r="BH41" s="2">
        <f t="shared" si="107"/>
        <v>31672.882352941175</v>
      </c>
      <c r="BI41" s="2">
        <f t="shared" si="107"/>
        <v>59614.234117647051</v>
      </c>
      <c r="BJ41" s="2">
        <f t="shared" si="107"/>
        <v>116815.86764705881</v>
      </c>
      <c r="BK41" s="2">
        <f t="shared" si="107"/>
        <v>542557.44970588235</v>
      </c>
      <c r="BM41" s="1">
        <f>SUM(BM5:BM40)</f>
        <v>11494</v>
      </c>
      <c r="BN41" s="2">
        <f>SUM(BN5:BN40)</f>
        <v>125610763.47999999</v>
      </c>
      <c r="BO41" s="143">
        <f t="shared" ref="BO41:BT41" si="108">AVERAGE(BO5:BO40)</f>
        <v>1724.7135959878117</v>
      </c>
      <c r="BP41" s="5">
        <f t="shared" si="108"/>
        <v>0.15624740449448493</v>
      </c>
      <c r="BQ41" s="2">
        <f t="shared" si="108"/>
        <v>1211.7878416823296</v>
      </c>
      <c r="BR41" s="5">
        <f t="shared" si="108"/>
        <v>0.10949749758137819</v>
      </c>
      <c r="BS41" s="2">
        <f t="shared" si="108"/>
        <v>543.77282801171111</v>
      </c>
      <c r="BT41" s="5">
        <f t="shared" si="108"/>
        <v>4.9468675888369194E-2</v>
      </c>
      <c r="BU41" s="1">
        <f>SUM(BU5:BU40)</f>
        <v>8015</v>
      </c>
      <c r="BV41" s="5">
        <f>(BU41-BM41)/BM41/5</f>
        <v>-6.0535931790499389E-2</v>
      </c>
    </row>
    <row r="42" spans="1:75">
      <c r="A42" t="s">
        <v>302</v>
      </c>
      <c r="B42">
        <f>(950000+550000+4000000)/322</f>
        <v>17080.745341614907</v>
      </c>
      <c r="S42" s="2" t="s">
        <v>303</v>
      </c>
      <c r="T42" s="5">
        <f>AVERAGEIF(X6:X40,"Own",T6:T40)</f>
        <v>9.541728150971264E-2</v>
      </c>
      <c r="U42" s="2">
        <f>AVERAGEIF(X6:X40,"Own",U6:U40)</f>
        <v>970.52175597366659</v>
      </c>
      <c r="AB42" s="5">
        <f>AVERAGEIF(X6:X40,"Own",AB6:AB40)</f>
        <v>0.11080473733673103</v>
      </c>
      <c r="AE42" s="2">
        <f>AVERAGEIF(X6:X40,"Own",AE6:AE40)</f>
        <v>1018.3874295612475</v>
      </c>
      <c r="AF42" s="2"/>
      <c r="AI42" s="2">
        <f>AI41/AH41</f>
        <v>11028.859262169455</v>
      </c>
      <c r="AJ42" s="2">
        <f>AVERAGEIF(X6:X40,"Own",AJ6:AJ40)</f>
        <v>1318.2251302545162</v>
      </c>
      <c r="AK42" s="5">
        <f>AVERAGEIF(X6:X40,"Own",AK6:AK40)</f>
        <v>0.12510100578881292</v>
      </c>
      <c r="AL42" s="2" t="e">
        <f ca="1">AVERAGEIF(D5:D59,"Own",AL5:AL40)</f>
        <v>#DIV/0!</v>
      </c>
      <c r="AM42" s="2" t="e">
        <f ca="1">AVERAGEIF(C5:C59,"Own",AM5:AM40)</f>
        <v>#DIV/0!</v>
      </c>
      <c r="AN42" s="2" t="e">
        <f ca="1">AVERAGEIF(D5:D59,"Own",AN5:AN40)</f>
        <v>#DIV/0!</v>
      </c>
      <c r="AO42" s="2" t="e">
        <f ca="1">AVERAGEIF(E5:E59,"Own",AO5:AO40)</f>
        <v>#DIV/0!</v>
      </c>
      <c r="AP42" s="2" t="e">
        <f ca="1">AVERAGEIF(F5:F59,"Own",AP5:AP40)</f>
        <v>#DIV/0!</v>
      </c>
      <c r="AQ42" s="2" t="e">
        <f ca="1">AVERAGEIF(I5:I59,"Own",AQ5:AQ40)</f>
        <v>#DIV/0!</v>
      </c>
      <c r="AU42" s="143"/>
      <c r="AV42" s="143">
        <f>AV41/AT41</f>
        <v>14522.658577279823</v>
      </c>
      <c r="AW42" s="2">
        <f>AVERAGEIF($X5:$X40,"Own",AW5:AW40)</f>
        <v>1518.4545726731005</v>
      </c>
      <c r="AX42" s="5">
        <f>AVERAGEIF(X5:X40,"Own",AX5:AX40)</f>
        <v>0.11138416866216304</v>
      </c>
      <c r="AY42" s="5">
        <f>BP42</f>
        <v>0.11546432418949788</v>
      </c>
      <c r="AZ42" s="2">
        <f>AVERAGEIF($X5:$X40,"Own",AZ5:AZ40)</f>
        <v>787.13588933310837</v>
      </c>
      <c r="BA42" s="5">
        <f>AVERAGEIF($X5:$X40,"Own",BA5:BA40)</f>
        <v>5.8601356565148498E-2</v>
      </c>
      <c r="BB42" s="2">
        <f>AVERAGEIF($X5:$X40,"Own",BB5:BB40)</f>
        <v>731.31868333999194</v>
      </c>
      <c r="BC42" s="5">
        <f>AVERAGEIF($X5:$X40,"Own",BC5:BC40)</f>
        <v>5.278281209701452E-2</v>
      </c>
      <c r="BD42" s="5"/>
      <c r="BE42" s="5"/>
      <c r="BF42" s="2" t="e">
        <f t="shared" ref="BF42:BK42" si="109">AVERAGEIF(O5:O40,"Own",BF5:BF40)</f>
        <v>#DIV/0!</v>
      </c>
      <c r="BG42" s="2" t="e">
        <f t="shared" si="109"/>
        <v>#DIV/0!</v>
      </c>
      <c r="BH42" s="2" t="e">
        <f t="shared" si="109"/>
        <v>#DIV/0!</v>
      </c>
      <c r="BI42" s="2" t="e">
        <f t="shared" si="109"/>
        <v>#DIV/0!</v>
      </c>
      <c r="BJ42" s="2" t="e">
        <f t="shared" si="109"/>
        <v>#DIV/0!</v>
      </c>
      <c r="BK42" s="2" t="e">
        <f t="shared" si="109"/>
        <v>#DIV/0!</v>
      </c>
      <c r="BN42" s="2">
        <f>BN41/BM41</f>
        <v>10928.376847050635</v>
      </c>
      <c r="BO42" s="2">
        <f>AVERAGEIF($X5:$X40,"Own",BO5:BO40)</f>
        <v>1358.45048842202</v>
      </c>
      <c r="BP42" s="5">
        <f>AVERAGEIF(X5:X40,"Own",BP5:BP40)</f>
        <v>0.11546432418949788</v>
      </c>
      <c r="BQ42" s="2">
        <f>AVERAGEIF($X5:$X40,"Own",BQ5:BQ40)</f>
        <v>901.68521250317224</v>
      </c>
      <c r="BR42" s="5">
        <f>AVERAGEIF($X5:$X40,"Own",BR5:BR40)</f>
        <v>7.6634710498053552E-2</v>
      </c>
      <c r="BS42" s="2">
        <f>AVERAGEIF($X5:$X40,"Own",BS5:BS40)</f>
        <v>507.68140437847188</v>
      </c>
      <c r="BT42" s="5">
        <f>AVERAGEIF($X5:$X40,"Own",BT5:BT40)</f>
        <v>3.9916496192223129E-2</v>
      </c>
      <c r="BU42" s="2">
        <f>BO42*2/3</f>
        <v>905.63365894801336</v>
      </c>
      <c r="BV42" s="2" t="s">
        <v>304</v>
      </c>
    </row>
    <row r="43" spans="1:75">
      <c r="A43" t="s">
        <v>305</v>
      </c>
      <c r="S43" s="2" t="s">
        <v>306</v>
      </c>
      <c r="T43" s="5">
        <f>AVERAGEIF(X6:X40,"",T6:T40)</f>
        <v>0.15821954934713811</v>
      </c>
      <c r="U43" s="2">
        <f>AVERAGEIF(X6:X40,"",U6:U40)</f>
        <v>1681.653588258026</v>
      </c>
      <c r="AB43" s="5">
        <f>AVERAGEIF(X6:X40,"",AB6:AB40)</f>
        <v>0.16332503869047238</v>
      </c>
      <c r="AE43" s="2">
        <f>AVERAGEIF(X6:X40,"",AE6:AE40)</f>
        <v>1737.1689486258335</v>
      </c>
      <c r="AF43" s="2"/>
      <c r="AJ43" s="2">
        <f>AVERAGEIF(X6:X40,"",AJ6:AJ40)</f>
        <v>1994.4141663791593</v>
      </c>
      <c r="AK43" s="5">
        <f>AVERAGEIF(X6:X40,"",AK6:AK40)</f>
        <v>0.17455393902209662</v>
      </c>
      <c r="AL43" s="2">
        <f t="shared" ref="AL43:AQ43" si="110">AVERAGEIF($X5:$X40,"",AL5:AL40)</f>
        <v>318624.34925925924</v>
      </c>
      <c r="AM43" s="2">
        <f t="shared" si="110"/>
        <v>53626.308666666671</v>
      </c>
      <c r="AN43" s="2">
        <f t="shared" si="110"/>
        <v>149278.87555555554</v>
      </c>
      <c r="AO43" s="2">
        <f t="shared" si="110"/>
        <v>21068.178148148148</v>
      </c>
      <c r="AP43" s="2">
        <f t="shared" si="110"/>
        <v>7661.9465925925924</v>
      </c>
      <c r="AQ43" s="2">
        <f t="shared" si="110"/>
        <v>550259.65822222224</v>
      </c>
      <c r="AW43" s="2">
        <f>AVERAGEIF($X5:$X40,"",AW5:AW40)</f>
        <v>2032.4433052809636</v>
      </c>
      <c r="AX43" s="5">
        <f>AVERAGEIF(X5:X40,"",AX5:AX40)</f>
        <v>0.14058564307419619</v>
      </c>
      <c r="AY43" s="5">
        <f>BP43</f>
        <v>0.16682079568466676</v>
      </c>
      <c r="AZ43" s="2">
        <f>AVERAGEIF($X5:$X40,"",AZ5:AZ40)</f>
        <v>1314.4718153538963</v>
      </c>
      <c r="BA43" s="5">
        <f>AVERAGEIF($X5:$X40,"",BA5:BA40)</f>
        <v>9.0444966211591926E-2</v>
      </c>
      <c r="BB43" s="2">
        <f>AVERAGEIF($X5:$X40,"",BB5:BB40)</f>
        <v>717.97148992706741</v>
      </c>
      <c r="BC43" s="5">
        <f>AVERAGEIF($X5:$X40,"",BC5:BC40)</f>
        <v>5.0140676862604226E-2</v>
      </c>
      <c r="BD43" s="5"/>
      <c r="BE43" s="5"/>
      <c r="BF43" s="2">
        <f t="shared" ref="BF43:BK43" si="111">AVERAGEIF($X5:$X40,"",BF5:BF40)</f>
        <v>320004.38407407404</v>
      </c>
      <c r="BG43" s="2">
        <f t="shared" si="111"/>
        <v>52721.814814814818</v>
      </c>
      <c r="BH43" s="2">
        <f t="shared" si="111"/>
        <v>13894.62962962963</v>
      </c>
      <c r="BI43" s="2">
        <f t="shared" si="111"/>
        <v>56359.678888888877</v>
      </c>
      <c r="BJ43" s="2">
        <f t="shared" si="111"/>
        <v>102118.48740740742</v>
      </c>
      <c r="BK43" s="2">
        <f t="shared" si="111"/>
        <v>545098.99481481488</v>
      </c>
      <c r="BO43" s="2">
        <f>AVERAGEIF($X5:$X40,"",BO5:BO40)</f>
        <v>1819.6706979493131</v>
      </c>
      <c r="BP43" s="5">
        <f>AVERAGEIF(X5:X40,"",BP5:BP40)</f>
        <v>0.16682079568466676</v>
      </c>
      <c r="BQ43" s="2">
        <f>AVERAGEIF($X5:$X40,"",BQ5:BQ40)</f>
        <v>1269.2142544932842</v>
      </c>
      <c r="BR43" s="5">
        <f>AVERAGEIF($X5:$X40,"",BR5:BR40)</f>
        <v>0.11558319889310496</v>
      </c>
      <c r="BS43" s="2">
        <f>AVERAGEIF($X5:$X40,"",BS5:BS40)</f>
        <v>550.45642498082941</v>
      </c>
      <c r="BT43" s="5">
        <f>AVERAGEIF($X5:$X40,"",BT5:BT40)</f>
        <v>5.1237598054322167E-2</v>
      </c>
      <c r="BU43" s="2">
        <f>BO43*2/3</f>
        <v>1213.1137986328754</v>
      </c>
      <c r="BV43" s="2" t="s">
        <v>304</v>
      </c>
    </row>
    <row r="44" spans="1:75">
      <c r="AV44" s="173"/>
      <c r="AW44" s="2"/>
      <c r="AY44" s="5"/>
      <c r="BD44" s="5"/>
      <c r="BM44" s="2">
        <f>BN42*(1.095)^3</f>
        <v>14348.219768693201</v>
      </c>
      <c r="BN44" s="170" t="s">
        <v>307</v>
      </c>
      <c r="BO44" s="21">
        <f>BO41*(1.04)^3</f>
        <v>1940.068234437234</v>
      </c>
    </row>
    <row r="45" spans="1:75">
      <c r="A45" t="s">
        <v>308</v>
      </c>
      <c r="B45">
        <f>5000000/435</f>
        <v>11494.252873563219</v>
      </c>
      <c r="AY45" s="5"/>
      <c r="BD45" s="5"/>
      <c r="BN45" s="169"/>
      <c r="BO45" s="2"/>
    </row>
    <row r="46" spans="1:75">
      <c r="A46" t="s">
        <v>309</v>
      </c>
      <c r="B46">
        <f>(1600000+2000000+1500000)/504</f>
        <v>10119.047619047618</v>
      </c>
      <c r="AT46" s="1" t="s">
        <v>310</v>
      </c>
      <c r="AU46" s="1">
        <v>100</v>
      </c>
      <c r="AV46" s="1">
        <v>100</v>
      </c>
      <c r="AW46" s="2">
        <f>AVERAGEIF($BM5:$BM40,"&lt;"&amp;$BN46,AW5:AW40)</f>
        <v>1745.1725631884456</v>
      </c>
      <c r="AX46" s="5">
        <f>AVERAGEIF($BM5:$BM40,"&lt;"&amp;$BN46,AX5:AX40)</f>
        <v>0.11224044885309703</v>
      </c>
      <c r="AY46" s="5">
        <f>BP46</f>
        <v>0.14142121636704544</v>
      </c>
      <c r="BD46" s="5"/>
      <c r="BE46" s="5"/>
      <c r="BM46" s="1" t="s">
        <v>310</v>
      </c>
      <c r="BN46" s="1">
        <v>100</v>
      </c>
      <c r="BO46" s="2">
        <f>AVERAGEIF($BM5:$BM40,"&lt;"&amp;$BN46,BO5:BO40)</f>
        <v>1841.9893487303655</v>
      </c>
      <c r="BP46" s="5">
        <f>AVERAGEIF($BM5:$BM40,"&lt;"&amp;$BN46,BP5:BP40)</f>
        <v>0.14142121636704544</v>
      </c>
    </row>
    <row r="47" spans="1:75">
      <c r="AT47" s="1" t="s">
        <v>311</v>
      </c>
      <c r="AU47" s="1">
        <f>AU46</f>
        <v>100</v>
      </c>
      <c r="AV47" s="1">
        <f>AV46</f>
        <v>100</v>
      </c>
      <c r="AW47" s="2">
        <f>AVERAGEIF($BM5:$BM40,"&gt;="&amp;$BN46,AW5:AW40)</f>
        <v>1944.1817277978189</v>
      </c>
      <c r="AX47" s="5">
        <f>AVERAGEIF($BM5:$BM40,"&gt;="&amp;$BN46,AX5:AX40)</f>
        <v>0.13673484506706923</v>
      </c>
      <c r="AY47" s="5">
        <f>BP47</f>
        <v>0.15768219689391455</v>
      </c>
      <c r="BD47" s="5"/>
      <c r="BE47" s="5"/>
      <c r="BM47" s="1" t="s">
        <v>311</v>
      </c>
      <c r="BN47" s="1">
        <f>BN46</f>
        <v>100</v>
      </c>
      <c r="BO47" s="2">
        <f>AVERAGEIF($BM5:$BM40,"&gt;="&amp;$BN46,BO5:BO40)</f>
        <v>1713.3643295933709</v>
      </c>
      <c r="BP47" s="5">
        <f>AVERAGEIF($BM5:$BM40,"&gt;="&amp;$BN46,BP5:BP40)</f>
        <v>0.15768219689391455</v>
      </c>
    </row>
    <row r="48" spans="1:75">
      <c r="A48" t="s">
        <v>312</v>
      </c>
      <c r="B48">
        <f>AVERAGE(B41:B46)</f>
        <v>13879.860664905642</v>
      </c>
      <c r="F48">
        <f>B48</f>
        <v>13879.860664905642</v>
      </c>
      <c r="G48">
        <f>F48*1.2</f>
        <v>16655.832797886771</v>
      </c>
      <c r="H48">
        <f>G48*1.1</f>
        <v>18321.416077675451</v>
      </c>
      <c r="I48">
        <f>H48*1.1</f>
        <v>20153.557685442996</v>
      </c>
      <c r="J48">
        <f>I48*1.05</f>
        <v>21161.235569715147</v>
      </c>
      <c r="AW48" s="2"/>
      <c r="AY48" s="5"/>
      <c r="BD48" s="5"/>
      <c r="BO48" s="2"/>
    </row>
    <row r="49" spans="1:76">
      <c r="U49" s="2">
        <v>13027</v>
      </c>
      <c r="AW49" s="2"/>
      <c r="AY49" s="5"/>
      <c r="BA49" s="5">
        <f>BA41/AX41</f>
        <v>0.62336851085420797</v>
      </c>
      <c r="BC49" s="5">
        <f>BC41/AX41</f>
        <v>0.37663148914579236</v>
      </c>
      <c r="BD49" s="5"/>
      <c r="BO49" s="2">
        <f>BO43-BO42</f>
        <v>461.22020952729304</v>
      </c>
      <c r="BR49" s="5">
        <f>BR41/BP41</f>
        <v>0.70079562560185205</v>
      </c>
      <c r="BT49" s="5">
        <f>BT41/BP41</f>
        <v>0.3166047848821405</v>
      </c>
    </row>
    <row r="50" spans="1:76">
      <c r="A50" t="s">
        <v>313</v>
      </c>
      <c r="B50">
        <f>30000000/1030</f>
        <v>29126.213592233009</v>
      </c>
      <c r="U50" s="5">
        <f>U41/U49</f>
        <v>0.11852423191112416</v>
      </c>
      <c r="W50" s="5"/>
      <c r="AY50" s="5"/>
      <c r="BD50" s="5"/>
    </row>
    <row r="51" spans="1:76">
      <c r="A51" t="s">
        <v>314</v>
      </c>
      <c r="B51">
        <f>18000000/430</f>
        <v>41860.465116279069</v>
      </c>
      <c r="M51" s="2" t="s">
        <v>315</v>
      </c>
      <c r="AR51" s="2">
        <v>660854.91999999993</v>
      </c>
      <c r="AT51" s="1">
        <v>256</v>
      </c>
      <c r="AU51" s="2">
        <v>3049255</v>
      </c>
      <c r="AV51" s="2">
        <v>3049255</v>
      </c>
      <c r="AW51" s="2">
        <f t="shared" ref="AW51:AW60" si="112">AR51/AT51</f>
        <v>2581.4645312499997</v>
      </c>
      <c r="AX51" s="5">
        <f t="shared" ref="AX51:AX60" si="113">AR51/AV51</f>
        <v>0.21672668241914825</v>
      </c>
      <c r="AY51" s="5">
        <f t="shared" ref="AY51:AY56" si="114">AX51</f>
        <v>0.21672668241914825</v>
      </c>
      <c r="BD51" s="5"/>
      <c r="BE51" s="5"/>
      <c r="BL51" s="2">
        <v>660854.91999999993</v>
      </c>
      <c r="BM51" s="1">
        <v>256</v>
      </c>
      <c r="BN51" s="2">
        <v>3049255</v>
      </c>
      <c r="BO51" s="2">
        <f t="shared" ref="BO51:BO60" si="115">BL51/BM51</f>
        <v>2581.4645312499997</v>
      </c>
      <c r="BP51" s="5">
        <f t="shared" ref="BP51:BP60" si="116">BL51/BN51</f>
        <v>0.21672668241914825</v>
      </c>
      <c r="BX51">
        <f>(13200000+52400000)/BM65</f>
        <v>37062.146892655364</v>
      </c>
    </row>
    <row r="52" spans="1:76">
      <c r="B52" t="s">
        <v>316</v>
      </c>
      <c r="C52" t="s">
        <v>317</v>
      </c>
      <c r="D52" t="s">
        <v>318</v>
      </c>
      <c r="M52" s="2" t="s">
        <v>319</v>
      </c>
      <c r="AR52" s="2">
        <v>290904.68</v>
      </c>
      <c r="AT52" s="1">
        <v>175</v>
      </c>
      <c r="AU52" s="2">
        <v>2047150.31</v>
      </c>
      <c r="AV52" s="2">
        <v>2047150.31</v>
      </c>
      <c r="AW52" s="2">
        <f t="shared" si="112"/>
        <v>1662.3124571428571</v>
      </c>
      <c r="AX52" s="5">
        <f t="shared" si="113"/>
        <v>0.14210225725926298</v>
      </c>
      <c r="AY52" s="5">
        <f t="shared" si="114"/>
        <v>0.14210225725926298</v>
      </c>
      <c r="BD52" s="5"/>
      <c r="BE52" s="5"/>
      <c r="BL52" s="2">
        <v>290904.68</v>
      </c>
      <c r="BM52" s="1">
        <v>175</v>
      </c>
      <c r="BN52" s="2">
        <v>2047150.31</v>
      </c>
      <c r="BO52" s="2">
        <f t="shared" si="115"/>
        <v>1662.3124571428571</v>
      </c>
      <c r="BP52" s="5">
        <f t="shared" si="116"/>
        <v>0.14210225725926298</v>
      </c>
      <c r="BW52" t="s">
        <v>320</v>
      </c>
    </row>
    <row r="53" spans="1:76">
      <c r="A53" t="s">
        <v>321</v>
      </c>
      <c r="B53" s="2">
        <v>40400000</v>
      </c>
      <c r="C53">
        <v>800</v>
      </c>
      <c r="D53" s="2">
        <f>B53/C53</f>
        <v>50500</v>
      </c>
      <c r="M53" t="s">
        <v>322</v>
      </c>
      <c r="S53" s="2" t="s">
        <v>323</v>
      </c>
      <c r="T53" s="5">
        <f>5/24</f>
        <v>0.20833333333333334</v>
      </c>
      <c r="V53" s="13" t="s">
        <v>324</v>
      </c>
      <c r="AR53" s="2">
        <v>680807.24</v>
      </c>
      <c r="AT53" s="1">
        <v>352</v>
      </c>
      <c r="AU53" s="2">
        <v>4558685.0999999996</v>
      </c>
      <c r="AV53" s="2">
        <v>4558685.0999999996</v>
      </c>
      <c r="AW53" s="2">
        <f t="shared" si="112"/>
        <v>1934.1114772727271</v>
      </c>
      <c r="AX53" s="5">
        <f t="shared" si="113"/>
        <v>0.14934289714373999</v>
      </c>
      <c r="AY53" s="5">
        <f t="shared" si="114"/>
        <v>0.14934289714373999</v>
      </c>
      <c r="BD53" s="5"/>
      <c r="BE53" s="5"/>
      <c r="BL53" s="2">
        <v>680807.24</v>
      </c>
      <c r="BM53" s="1">
        <v>352</v>
      </c>
      <c r="BN53" s="2">
        <v>4558685.0999999996</v>
      </c>
      <c r="BO53" s="2">
        <f t="shared" si="115"/>
        <v>1934.1114772727271</v>
      </c>
      <c r="BP53" s="5">
        <f t="shared" si="116"/>
        <v>0.14934289714373999</v>
      </c>
      <c r="BW53" s="230" t="s">
        <v>325</v>
      </c>
    </row>
    <row r="54" spans="1:76">
      <c r="A54" t="s">
        <v>326</v>
      </c>
      <c r="B54" s="2">
        <v>46000000</v>
      </c>
      <c r="C54">
        <v>804</v>
      </c>
      <c r="D54" s="2">
        <f>B54/C54</f>
        <v>57213.930348258706</v>
      </c>
      <c r="M54" s="2" t="s">
        <v>233</v>
      </c>
      <c r="N54" s="2">
        <v>675385</v>
      </c>
      <c r="O54" s="2">
        <v>52989</v>
      </c>
      <c r="P54" s="2">
        <v>0</v>
      </c>
      <c r="Q54" s="2">
        <f t="shared" ref="Q54" si="117">SUM(N54:P54)</f>
        <v>728374</v>
      </c>
      <c r="S54" s="2">
        <v>4802052</v>
      </c>
      <c r="T54" s="5">
        <f t="shared" ref="T54" si="118">Q54/S54</f>
        <v>0.15167974024437886</v>
      </c>
      <c r="U54" s="2">
        <f t="shared" ref="U54" si="119">Q54/AD54</f>
        <v>1785.2303921568628</v>
      </c>
      <c r="V54" s="13" t="s">
        <v>324</v>
      </c>
      <c r="X54" s="5"/>
      <c r="Y54" s="2">
        <f t="shared" ref="Y54" si="120">S54/AD54</f>
        <v>11769.735294117647</v>
      </c>
      <c r="Z54" s="2">
        <v>137358</v>
      </c>
      <c r="AA54" s="2">
        <v>4701033</v>
      </c>
      <c r="AB54" s="5">
        <f t="shared" ref="AB54" si="121">Z54/AA54</f>
        <v>2.9218684489132497E-2</v>
      </c>
      <c r="AC54" s="2">
        <f t="shared" ref="AC54" si="122">Q54-Z54</f>
        <v>591016</v>
      </c>
      <c r="AD54">
        <v>408</v>
      </c>
      <c r="AE54" s="2">
        <f t="shared" ref="AE54" si="123">Z54/AD54</f>
        <v>336.66176470588238</v>
      </c>
      <c r="AF54" s="2">
        <f t="shared" ref="AF54" si="124">AA54/AD54</f>
        <v>11522.139705882353</v>
      </c>
      <c r="AG54" s="2">
        <v>898595.19</v>
      </c>
      <c r="AH54" s="1">
        <v>404</v>
      </c>
      <c r="AI54" s="2">
        <v>4701033.3899999997</v>
      </c>
      <c r="AJ54" s="2">
        <f>AG54/AH54</f>
        <v>2224.2455198019802</v>
      </c>
      <c r="AK54" s="5">
        <f>AG54/AI54</f>
        <v>0.19114843810968976</v>
      </c>
      <c r="AR54" s="2">
        <v>750611.59</v>
      </c>
      <c r="AT54" s="1">
        <v>473</v>
      </c>
      <c r="AU54" s="2">
        <v>5915204</v>
      </c>
      <c r="AV54" s="2">
        <v>5915204</v>
      </c>
      <c r="AW54" s="2">
        <f t="shared" si="112"/>
        <v>1586.9166807610993</v>
      </c>
      <c r="AX54" s="5">
        <f t="shared" si="113"/>
        <v>0.1268953006523528</v>
      </c>
      <c r="AY54" s="5">
        <f t="shared" si="114"/>
        <v>0.1268953006523528</v>
      </c>
      <c r="BD54" s="5"/>
      <c r="BE54" s="5"/>
      <c r="BL54" s="2">
        <v>750611.59</v>
      </c>
      <c r="BM54" s="1">
        <v>473</v>
      </c>
      <c r="BN54" s="2">
        <v>5915204</v>
      </c>
      <c r="BO54" s="2">
        <f t="shared" si="115"/>
        <v>1586.9166807610993</v>
      </c>
      <c r="BP54" s="5">
        <f t="shared" si="116"/>
        <v>0.1268953006523528</v>
      </c>
      <c r="BW54" s="230"/>
    </row>
    <row r="55" spans="1:76">
      <c r="M55" t="s">
        <v>327</v>
      </c>
      <c r="V55" s="13" t="s">
        <v>324</v>
      </c>
      <c r="AR55" s="2">
        <v>720711.41</v>
      </c>
      <c r="AT55" s="1">
        <v>193</v>
      </c>
      <c r="AU55" s="2">
        <v>3197497.46</v>
      </c>
      <c r="AV55" s="2">
        <v>3197497.46</v>
      </c>
      <c r="AW55" s="2">
        <f t="shared" si="112"/>
        <v>3734.2560103626943</v>
      </c>
      <c r="AX55" s="5">
        <f t="shared" si="113"/>
        <v>0.22539858718136402</v>
      </c>
      <c r="AY55" s="5">
        <f t="shared" si="114"/>
        <v>0.22539858718136402</v>
      </c>
      <c r="BD55" s="5"/>
      <c r="BE55" s="5"/>
      <c r="BL55" s="2">
        <v>720711.41</v>
      </c>
      <c r="BM55" s="1">
        <v>193</v>
      </c>
      <c r="BN55" s="2">
        <v>3197497.46</v>
      </c>
      <c r="BO55" s="2">
        <f t="shared" si="115"/>
        <v>3734.2560103626943</v>
      </c>
      <c r="BP55" s="5">
        <f t="shared" si="116"/>
        <v>0.22539858718136402</v>
      </c>
      <c r="BW55" s="230"/>
    </row>
    <row r="56" spans="1:76">
      <c r="M56" t="s">
        <v>328</v>
      </c>
      <c r="V56" s="13" t="s">
        <v>324</v>
      </c>
      <c r="AR56" s="2">
        <v>335073.13</v>
      </c>
      <c r="AT56" s="1">
        <v>217</v>
      </c>
      <c r="AU56" s="2">
        <v>2651443</v>
      </c>
      <c r="AV56" s="2">
        <v>2651443</v>
      </c>
      <c r="AW56" s="2">
        <f t="shared" si="112"/>
        <v>1544.115806451613</v>
      </c>
      <c r="AX56" s="5">
        <f t="shared" si="113"/>
        <v>0.12637387641371134</v>
      </c>
      <c r="AY56" s="5">
        <f t="shared" si="114"/>
        <v>0.12637387641371134</v>
      </c>
      <c r="BD56" s="5"/>
      <c r="BE56" s="5"/>
      <c r="BL56" s="2">
        <v>335073.13</v>
      </c>
      <c r="BM56" s="1">
        <v>217</v>
      </c>
      <c r="BN56" s="2">
        <v>2651443</v>
      </c>
      <c r="BO56" s="2">
        <f t="shared" si="115"/>
        <v>1544.115806451613</v>
      </c>
      <c r="BP56" s="5">
        <f t="shared" si="116"/>
        <v>0.12637387641371134</v>
      </c>
      <c r="BW56" s="230"/>
    </row>
    <row r="57" spans="1:76">
      <c r="M57" s="2" t="s">
        <v>329</v>
      </c>
      <c r="AR57" s="2">
        <v>451834.95</v>
      </c>
      <c r="AT57" s="1">
        <v>255</v>
      </c>
      <c r="AU57" s="2">
        <v>3066894.1300000004</v>
      </c>
      <c r="AV57" s="2">
        <v>3066894.1300000004</v>
      </c>
      <c r="AW57" s="2">
        <f t="shared" si="112"/>
        <v>1771.9017647058824</v>
      </c>
      <c r="AX57" s="5">
        <f t="shared" si="113"/>
        <v>0.1473265560686309</v>
      </c>
      <c r="AY57" s="5">
        <f t="shared" ref="AY57:AY60" si="125">AX57</f>
        <v>0.1473265560686309</v>
      </c>
      <c r="BD57" s="5"/>
      <c r="BE57" s="5"/>
      <c r="BL57" s="2">
        <v>451834.95</v>
      </c>
      <c r="BM57" s="1">
        <v>255</v>
      </c>
      <c r="BN57" s="2">
        <v>3066894.1300000004</v>
      </c>
      <c r="BO57" s="2">
        <f t="shared" si="115"/>
        <v>1771.9017647058824</v>
      </c>
      <c r="BP57" s="5">
        <f t="shared" si="116"/>
        <v>0.1473265560686309</v>
      </c>
      <c r="BW57" t="s">
        <v>330</v>
      </c>
    </row>
    <row r="58" spans="1:76">
      <c r="M58" s="2" t="s">
        <v>235</v>
      </c>
      <c r="AR58" s="2">
        <v>682979.23</v>
      </c>
      <c r="AT58" s="1">
        <v>304</v>
      </c>
      <c r="AU58" s="2">
        <v>2951949.69</v>
      </c>
      <c r="AV58" s="2">
        <v>2951949.69</v>
      </c>
      <c r="AW58" s="2">
        <f t="shared" si="112"/>
        <v>2246.6422039473682</v>
      </c>
      <c r="AX58" s="5">
        <f t="shared" si="113"/>
        <v>0.23136547086613796</v>
      </c>
      <c r="AY58" s="5">
        <f t="shared" si="125"/>
        <v>0.23136547086613796</v>
      </c>
      <c r="BD58" s="5"/>
      <c r="BE58" s="5"/>
      <c r="BL58" s="2">
        <v>682979.23</v>
      </c>
      <c r="BM58" s="1">
        <v>304</v>
      </c>
      <c r="BN58" s="2">
        <v>2951949.69</v>
      </c>
      <c r="BO58" s="2">
        <f t="shared" si="115"/>
        <v>2246.6422039473682</v>
      </c>
      <c r="BP58" s="5">
        <f t="shared" si="116"/>
        <v>0.23136547086613796</v>
      </c>
    </row>
    <row r="59" spans="1:76">
      <c r="M59" s="2" t="s">
        <v>331</v>
      </c>
      <c r="AR59" s="2">
        <v>273974.09000000003</v>
      </c>
      <c r="AT59" s="1">
        <v>269</v>
      </c>
      <c r="AU59" s="2">
        <v>2909442.4099999997</v>
      </c>
      <c r="AV59" s="2">
        <v>2909442.4099999997</v>
      </c>
      <c r="AW59" s="2">
        <f t="shared" si="112"/>
        <v>1018.4910408921934</v>
      </c>
      <c r="AX59" s="5">
        <f t="shared" si="113"/>
        <v>9.4167215360004344E-2</v>
      </c>
      <c r="AY59" s="5">
        <f t="shared" si="125"/>
        <v>9.4167215360004344E-2</v>
      </c>
      <c r="BD59" s="5"/>
      <c r="BE59" s="5"/>
      <c r="BL59" s="2">
        <v>273974.09000000003</v>
      </c>
      <c r="BM59" s="1">
        <v>269</v>
      </c>
      <c r="BN59" s="2">
        <v>2909442.4099999997</v>
      </c>
      <c r="BO59" s="2">
        <f t="shared" si="115"/>
        <v>1018.4910408921934</v>
      </c>
      <c r="BP59" s="5">
        <f t="shared" si="116"/>
        <v>9.4167215360004344E-2</v>
      </c>
      <c r="BW59" s="141" t="s">
        <v>332</v>
      </c>
    </row>
    <row r="60" spans="1:76">
      <c r="M60" s="2" t="s">
        <v>333</v>
      </c>
      <c r="V60" s="13" t="s">
        <v>324</v>
      </c>
      <c r="AR60" s="2">
        <v>753726</v>
      </c>
      <c r="AT60" s="1">
        <v>722</v>
      </c>
      <c r="AU60" s="2">
        <v>8113460</v>
      </c>
      <c r="AV60" s="2">
        <v>8113460</v>
      </c>
      <c r="AW60" s="2">
        <f t="shared" si="112"/>
        <v>1043.9418282548477</v>
      </c>
      <c r="AX60" s="5">
        <f t="shared" si="113"/>
        <v>9.2898220980937848E-2</v>
      </c>
      <c r="AY60" s="5">
        <f t="shared" si="125"/>
        <v>9.2898220980937848E-2</v>
      </c>
      <c r="BD60" s="5"/>
      <c r="BE60" s="5"/>
      <c r="BL60" s="2">
        <v>753726</v>
      </c>
      <c r="BM60" s="1">
        <v>722</v>
      </c>
      <c r="BN60" s="2">
        <v>8113460</v>
      </c>
      <c r="BO60" s="2">
        <f t="shared" si="115"/>
        <v>1043.9418282548477</v>
      </c>
      <c r="BP60" s="5">
        <f t="shared" si="116"/>
        <v>9.2898220980937848E-2</v>
      </c>
    </row>
    <row r="61" spans="1:76">
      <c r="M61" s="2" t="s">
        <v>334</v>
      </c>
      <c r="V61" s="13" t="s">
        <v>324</v>
      </c>
      <c r="AW61" s="2"/>
      <c r="AX61" s="5"/>
      <c r="AY61" s="5"/>
      <c r="BD61" s="5"/>
      <c r="BE61" s="5"/>
      <c r="BO61" s="2"/>
      <c r="BP61" s="5"/>
    </row>
    <row r="62" spans="1:76">
      <c r="AW62" s="2"/>
      <c r="AX62" s="5"/>
      <c r="AY62" s="5"/>
      <c r="BD62" s="5"/>
      <c r="BE62" s="5"/>
      <c r="BO62" s="2"/>
      <c r="BP62" s="5"/>
    </row>
    <row r="63" spans="1:76">
      <c r="M63" s="143" t="s">
        <v>335</v>
      </c>
      <c r="AW63" s="143">
        <f>AVERAGE(AW51:AW59)</f>
        <v>2008.9124414207149</v>
      </c>
      <c r="AX63" s="55">
        <f>AVERAGE(AX51:AX59)</f>
        <v>0.16218876037381694</v>
      </c>
      <c r="AY63" s="55"/>
      <c r="AZ63" s="143"/>
      <c r="BA63" s="55"/>
      <c r="BB63" s="143"/>
      <c r="BC63" s="55"/>
      <c r="BD63" s="55"/>
      <c r="BE63" s="55"/>
      <c r="BO63" s="143">
        <f>AVERAGE(BO51:BO59)</f>
        <v>2008.9124414207149</v>
      </c>
      <c r="BP63" s="55">
        <f>AVERAGE(BP51:BP59)</f>
        <v>0.16218876037381694</v>
      </c>
      <c r="BQ63" s="143"/>
      <c r="BR63" s="55"/>
      <c r="BS63" s="143"/>
      <c r="BT63" s="55"/>
    </row>
    <row r="65" spans="13:75">
      <c r="M65" s="2" t="s">
        <v>336</v>
      </c>
      <c r="X65" t="s">
        <v>243</v>
      </c>
      <c r="AR65" s="2">
        <v>1933444.63</v>
      </c>
      <c r="AT65" s="1">
        <v>1770</v>
      </c>
      <c r="AU65" s="2">
        <v>20090998.309999999</v>
      </c>
      <c r="AV65" s="2">
        <v>20090998.309999999</v>
      </c>
      <c r="AW65" s="2">
        <f t="shared" ref="AW65:AW70" si="126">AR65/AT65</f>
        <v>1092.3415988700565</v>
      </c>
      <c r="AX65" s="5">
        <f t="shared" ref="AX65:AX70" si="127">AR65/AV65</f>
        <v>9.62343732335917E-2</v>
      </c>
      <c r="AY65" s="5"/>
      <c r="BD65" s="5"/>
      <c r="BE65" s="5"/>
      <c r="BL65" s="2">
        <v>1933444.63</v>
      </c>
      <c r="BM65" s="1">
        <v>1770</v>
      </c>
      <c r="BN65" s="2">
        <v>20090998.309999999</v>
      </c>
      <c r="BO65" s="2">
        <f t="shared" ref="BO65:BO70" si="128">BL65/BM65</f>
        <v>1092.3415988700565</v>
      </c>
      <c r="BP65" s="5">
        <f t="shared" ref="BP65:BP70" si="129">BL65/BN65</f>
        <v>9.62343732335917E-2</v>
      </c>
      <c r="BW65" t="s">
        <v>337</v>
      </c>
    </row>
    <row r="66" spans="13:75">
      <c r="M66" s="144" t="s">
        <v>338</v>
      </c>
      <c r="X66" t="s">
        <v>243</v>
      </c>
      <c r="AR66" s="2">
        <v>407173.43</v>
      </c>
      <c r="AT66" s="1">
        <v>295</v>
      </c>
      <c r="AU66" s="2">
        <v>2915059.2399999998</v>
      </c>
      <c r="AV66" s="2">
        <v>2915059.2399999998</v>
      </c>
      <c r="AW66" s="2">
        <f t="shared" si="126"/>
        <v>1380.2489152542373</v>
      </c>
      <c r="AX66" s="5">
        <f t="shared" si="127"/>
        <v>0.13967929859291642</v>
      </c>
      <c r="AY66" s="5"/>
      <c r="BD66" s="5"/>
      <c r="BE66" s="5"/>
      <c r="BL66" s="2">
        <v>407173.43</v>
      </c>
      <c r="BM66" s="1">
        <v>295</v>
      </c>
      <c r="BN66" s="2">
        <v>2915059.2399999998</v>
      </c>
      <c r="BO66" s="2">
        <f t="shared" si="128"/>
        <v>1380.2489152542373</v>
      </c>
      <c r="BP66" s="5">
        <f t="shared" si="129"/>
        <v>0.13967929859291642</v>
      </c>
      <c r="BW66" t="s">
        <v>339</v>
      </c>
    </row>
    <row r="67" spans="13:75">
      <c r="M67" s="144" t="s">
        <v>340</v>
      </c>
      <c r="X67" t="s">
        <v>243</v>
      </c>
      <c r="AR67" s="2">
        <v>146303.28999999998</v>
      </c>
      <c r="AT67" s="1">
        <v>228</v>
      </c>
      <c r="AU67" s="2">
        <v>2583346.4200000004</v>
      </c>
      <c r="AV67" s="2">
        <v>2583346.4200000004</v>
      </c>
      <c r="AW67" s="2">
        <f t="shared" si="126"/>
        <v>641.681096491228</v>
      </c>
      <c r="AX67" s="5">
        <f t="shared" si="127"/>
        <v>5.663324471984673E-2</v>
      </c>
      <c r="AY67" s="5"/>
      <c r="BD67" s="5"/>
      <c r="BE67" s="5"/>
      <c r="BL67" s="2">
        <v>146303.28999999998</v>
      </c>
      <c r="BM67" s="1">
        <v>228</v>
      </c>
      <c r="BN67" s="2">
        <v>2583346.4200000004</v>
      </c>
      <c r="BO67" s="2">
        <f t="shared" si="128"/>
        <v>641.681096491228</v>
      </c>
      <c r="BP67" s="5">
        <f t="shared" si="129"/>
        <v>5.663324471984673E-2</v>
      </c>
      <c r="BW67" t="s">
        <v>341</v>
      </c>
    </row>
    <row r="68" spans="13:75">
      <c r="M68" s="144" t="s">
        <v>342</v>
      </c>
      <c r="X68" t="s">
        <v>243</v>
      </c>
      <c r="AR68" s="2">
        <v>152689.85</v>
      </c>
      <c r="AT68" s="1">
        <v>238</v>
      </c>
      <c r="AU68" s="2">
        <v>2297468.5599999996</v>
      </c>
      <c r="AV68" s="2">
        <v>2297468.5599999996</v>
      </c>
      <c r="AW68" s="2">
        <f t="shared" si="126"/>
        <v>641.55399159663864</v>
      </c>
      <c r="AX68" s="5">
        <f t="shared" si="127"/>
        <v>6.6460038956964021E-2</v>
      </c>
      <c r="AY68" s="5"/>
      <c r="BD68" s="5"/>
      <c r="BE68" s="5"/>
      <c r="BL68" s="2">
        <v>152689.85</v>
      </c>
      <c r="BM68" s="1">
        <v>238</v>
      </c>
      <c r="BN68" s="2">
        <v>2297468.5599999996</v>
      </c>
      <c r="BO68" s="2">
        <f t="shared" si="128"/>
        <v>641.55399159663864</v>
      </c>
      <c r="BP68" s="5">
        <f t="shared" si="129"/>
        <v>6.6460038956964021E-2</v>
      </c>
      <c r="BW68" t="s">
        <v>343</v>
      </c>
    </row>
    <row r="69" spans="13:75">
      <c r="M69" s="144" t="s">
        <v>344</v>
      </c>
      <c r="X69" t="s">
        <v>243</v>
      </c>
      <c r="AR69" s="2">
        <v>71173.709999999992</v>
      </c>
      <c r="AT69" s="1">
        <v>97</v>
      </c>
      <c r="AU69" s="2">
        <v>1443523.12</v>
      </c>
      <c r="AV69" s="2">
        <v>1443523.12</v>
      </c>
      <c r="AW69" s="2">
        <f t="shared" si="126"/>
        <v>733.74958762886592</v>
      </c>
      <c r="AX69" s="5">
        <f t="shared" si="127"/>
        <v>4.9305555978902495E-2</v>
      </c>
      <c r="AY69" s="5"/>
      <c r="BD69" s="5"/>
      <c r="BE69" s="5"/>
      <c r="BL69" s="2">
        <v>71173.709999999992</v>
      </c>
      <c r="BM69" s="1">
        <v>97</v>
      </c>
      <c r="BN69" s="2">
        <v>1443523.12</v>
      </c>
      <c r="BO69" s="2">
        <f t="shared" si="128"/>
        <v>733.74958762886592</v>
      </c>
      <c r="BP69" s="5">
        <f t="shared" si="129"/>
        <v>4.9305555978902495E-2</v>
      </c>
      <c r="BW69" t="s">
        <v>345</v>
      </c>
    </row>
    <row r="70" spans="13:75">
      <c r="M70" s="2" t="s">
        <v>346</v>
      </c>
      <c r="X70" t="s">
        <v>243</v>
      </c>
      <c r="AR70" s="2">
        <v>419250.94</v>
      </c>
      <c r="AT70" s="1">
        <v>683</v>
      </c>
      <c r="AU70" s="2">
        <v>6869528.46</v>
      </c>
      <c r="AV70" s="2">
        <v>6869528.46</v>
      </c>
      <c r="AW70" s="2">
        <f t="shared" si="126"/>
        <v>613.83739385065883</v>
      </c>
      <c r="AX70" s="5">
        <f t="shared" si="127"/>
        <v>6.1030526686252348E-2</v>
      </c>
      <c r="AY70" s="5"/>
      <c r="BD70" s="5"/>
      <c r="BE70" s="5"/>
      <c r="BL70" s="2">
        <v>419250.94</v>
      </c>
      <c r="BM70" s="1">
        <v>683</v>
      </c>
      <c r="BN70" s="2">
        <v>6869528.46</v>
      </c>
      <c r="BO70" s="2">
        <f t="shared" si="128"/>
        <v>613.83739385065883</v>
      </c>
      <c r="BP70" s="5">
        <f t="shared" si="129"/>
        <v>6.1030526686252348E-2</v>
      </c>
      <c r="BW70" t="s">
        <v>347</v>
      </c>
    </row>
  </sheetData>
  <mergeCells count="1">
    <mergeCell ref="BW53:BW5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D35FD-F5A2-427E-9A65-0BD7E27B4754}">
  <dimension ref="A1:Q78"/>
  <sheetViews>
    <sheetView workbookViewId="0">
      <pane xSplit="1" ySplit="1" topLeftCell="B5" activePane="bottomRight" state="frozen"/>
      <selection pane="bottomRight" activeCell="H78" sqref="H78"/>
      <selection pane="bottomLeft" activeCell="A2" sqref="A2"/>
      <selection pane="topRight" activeCell="B1" sqref="B1"/>
    </sheetView>
  </sheetViews>
  <sheetFormatPr defaultRowHeight="14.45"/>
  <cols>
    <col min="1" max="1" width="39.28515625" customWidth="1"/>
    <col min="2" max="2" width="20.42578125" customWidth="1"/>
    <col min="3" max="3" width="12.42578125" customWidth="1"/>
    <col min="4" max="4" width="11.85546875" customWidth="1"/>
    <col min="7" max="7" width="55.140625" customWidth="1"/>
    <col min="8" max="8" width="15.42578125" style="2" customWidth="1"/>
    <col min="9" max="9" width="8.7109375" style="5"/>
    <col min="10" max="10" width="15.42578125" style="2" customWidth="1"/>
    <col min="11" max="11" width="8.7109375" style="5"/>
    <col min="12" max="12" width="9.5703125" style="1" customWidth="1"/>
    <col min="14" max="15" width="15.42578125" style="2" customWidth="1"/>
    <col min="16" max="16" width="9.85546875" bestFit="1" customWidth="1"/>
  </cols>
  <sheetData>
    <row r="1" spans="1:15" s="3" customFormat="1">
      <c r="A1" s="9" t="s">
        <v>348</v>
      </c>
      <c r="B1" s="9" t="s">
        <v>349</v>
      </c>
      <c r="C1" s="30" t="s">
        <v>112</v>
      </c>
      <c r="D1" s="30" t="s">
        <v>187</v>
      </c>
      <c r="E1" s="31" t="s">
        <v>190</v>
      </c>
      <c r="F1" s="31" t="s">
        <v>350</v>
      </c>
      <c r="G1" s="9" t="s">
        <v>351</v>
      </c>
      <c r="H1" s="30" t="s">
        <v>208</v>
      </c>
      <c r="I1" s="31" t="s">
        <v>352</v>
      </c>
      <c r="J1" s="30" t="s">
        <v>207</v>
      </c>
      <c r="K1" s="31" t="s">
        <v>353</v>
      </c>
      <c r="L1" s="37" t="s">
        <v>354</v>
      </c>
      <c r="M1" s="9" t="s">
        <v>355</v>
      </c>
      <c r="N1" s="30" t="s">
        <v>356</v>
      </c>
      <c r="O1" s="30" t="s">
        <v>357</v>
      </c>
    </row>
    <row r="2" spans="1:15">
      <c r="A2" s="11" t="s">
        <v>358</v>
      </c>
      <c r="B2" s="11" t="s">
        <v>359</v>
      </c>
      <c r="C2" s="21">
        <v>199184</v>
      </c>
      <c r="D2" s="21">
        <v>1164487</v>
      </c>
      <c r="E2" s="12">
        <f t="shared" ref="E2:E29" si="0">C2/D2</f>
        <v>0.17104871071982769</v>
      </c>
      <c r="F2" s="12" t="s">
        <v>360</v>
      </c>
      <c r="G2" s="11" t="s">
        <v>361</v>
      </c>
      <c r="H2" s="21">
        <v>7641</v>
      </c>
      <c r="I2" s="12">
        <f t="shared" ref="I2:I17" si="1">(C2+H2)/D2</f>
        <v>0.17761039839860815</v>
      </c>
      <c r="J2" s="21">
        <v>0</v>
      </c>
      <c r="K2" s="12">
        <f>(C2+H2+J2)/(D2+J2)</f>
        <v>0.17761039839860815</v>
      </c>
      <c r="L2" s="20">
        <v>90</v>
      </c>
      <c r="M2" s="21">
        <f>(D2+J2)/L2</f>
        <v>12938.744444444445</v>
      </c>
      <c r="N2" s="21">
        <f>D2+J2</f>
        <v>1164487</v>
      </c>
      <c r="O2" s="21">
        <f>J2+C2</f>
        <v>199184</v>
      </c>
    </row>
    <row r="3" spans="1:15">
      <c r="A3" s="11" t="s">
        <v>362</v>
      </c>
      <c r="B3" s="11" t="s">
        <v>359</v>
      </c>
      <c r="C3" s="21">
        <v>101541</v>
      </c>
      <c r="D3" s="21">
        <v>726416</v>
      </c>
      <c r="E3" s="12">
        <f t="shared" si="0"/>
        <v>0.13978354001013193</v>
      </c>
      <c r="F3" s="12" t="s">
        <v>360</v>
      </c>
      <c r="G3" s="11" t="s">
        <v>361</v>
      </c>
      <c r="H3" s="21">
        <v>15739</v>
      </c>
      <c r="I3" s="12">
        <f t="shared" si="1"/>
        <v>0.16145018832184313</v>
      </c>
      <c r="J3" s="21">
        <v>9703</v>
      </c>
      <c r="K3" s="12">
        <f t="shared" ref="K3:K54" si="2">(C3+H3+J3)/(D3+J3)</f>
        <v>0.17250335883192799</v>
      </c>
      <c r="L3" s="20">
        <v>70</v>
      </c>
      <c r="M3" s="21">
        <f t="shared" ref="M3:M54" si="3">(D3+J3)/L3</f>
        <v>10515.985714285714</v>
      </c>
      <c r="N3" s="21">
        <f t="shared" ref="N3:N54" si="4">D3+J3</f>
        <v>736119</v>
      </c>
      <c r="O3" s="21">
        <f t="shared" ref="O3:O54" si="5">J3+C3</f>
        <v>111244</v>
      </c>
    </row>
    <row r="4" spans="1:15">
      <c r="A4" s="11" t="s">
        <v>363</v>
      </c>
      <c r="B4" s="11" t="s">
        <v>359</v>
      </c>
      <c r="C4" s="21">
        <v>225684</v>
      </c>
      <c r="D4" s="21">
        <v>2422967</v>
      </c>
      <c r="E4" s="12">
        <f t="shared" si="0"/>
        <v>9.3143654040686474E-2</v>
      </c>
      <c r="F4" s="12" t="s">
        <v>364</v>
      </c>
      <c r="G4" s="11" t="s">
        <v>365</v>
      </c>
      <c r="H4" s="21">
        <v>21626</v>
      </c>
      <c r="I4" s="12">
        <f t="shared" si="1"/>
        <v>0.10206907481612419</v>
      </c>
      <c r="J4" s="21">
        <v>109388</v>
      </c>
      <c r="K4" s="12"/>
      <c r="L4" s="20"/>
      <c r="M4" s="21"/>
      <c r="N4" s="21"/>
      <c r="O4" s="21"/>
    </row>
    <row r="5" spans="1:15">
      <c r="A5" s="11" t="s">
        <v>366</v>
      </c>
      <c r="B5" s="11" t="s">
        <v>367</v>
      </c>
      <c r="C5" s="21">
        <v>276809</v>
      </c>
      <c r="D5" s="21">
        <v>7377755</v>
      </c>
      <c r="E5" s="12">
        <f t="shared" si="0"/>
        <v>3.7519408004196397E-2</v>
      </c>
      <c r="F5" s="12"/>
      <c r="G5" s="11" t="s">
        <v>368</v>
      </c>
      <c r="H5" s="21">
        <v>86178</v>
      </c>
      <c r="I5" s="12">
        <f t="shared" si="1"/>
        <v>4.9200197078921704E-2</v>
      </c>
      <c r="J5" s="21">
        <v>249731</v>
      </c>
      <c r="K5" s="12">
        <f t="shared" si="2"/>
        <v>8.0330268715013045E-2</v>
      </c>
      <c r="L5" s="20">
        <v>750</v>
      </c>
      <c r="M5" s="21">
        <f t="shared" si="3"/>
        <v>10169.981333333333</v>
      </c>
      <c r="N5" s="21">
        <f t="shared" si="4"/>
        <v>7627486</v>
      </c>
      <c r="O5" s="21">
        <f t="shared" si="5"/>
        <v>526540</v>
      </c>
    </row>
    <row r="6" spans="1:15">
      <c r="A6" s="11" t="s">
        <v>369</v>
      </c>
      <c r="B6" s="11" t="s">
        <v>359</v>
      </c>
      <c r="C6" s="21">
        <v>1257583</v>
      </c>
      <c r="D6" s="21">
        <v>7252585</v>
      </c>
      <c r="E6" s="12">
        <f t="shared" si="0"/>
        <v>0.17339789881814552</v>
      </c>
      <c r="F6" s="12" t="s">
        <v>360</v>
      </c>
      <c r="G6" s="11" t="s">
        <v>361</v>
      </c>
      <c r="H6" s="21">
        <v>0</v>
      </c>
      <c r="I6" s="12">
        <f t="shared" si="1"/>
        <v>0.17339789881814552</v>
      </c>
      <c r="J6" s="21">
        <v>0</v>
      </c>
      <c r="K6" s="12">
        <f t="shared" si="2"/>
        <v>0.17339789881814552</v>
      </c>
      <c r="L6" s="20">
        <v>665</v>
      </c>
      <c r="M6" s="21">
        <f t="shared" si="3"/>
        <v>10906.142857142857</v>
      </c>
      <c r="N6" s="21">
        <f t="shared" si="4"/>
        <v>7252585</v>
      </c>
      <c r="O6" s="21">
        <f t="shared" si="5"/>
        <v>1257583</v>
      </c>
    </row>
    <row r="7" spans="1:15">
      <c r="A7" s="11" t="s">
        <v>370</v>
      </c>
      <c r="B7" s="11" t="s">
        <v>371</v>
      </c>
      <c r="C7" s="21">
        <v>1559725</v>
      </c>
      <c r="D7" s="21">
        <v>7626359</v>
      </c>
      <c r="E7" s="12">
        <f t="shared" si="0"/>
        <v>0.20451764728096331</v>
      </c>
      <c r="F7" s="12" t="s">
        <v>360</v>
      </c>
      <c r="G7" s="11" t="s">
        <v>361</v>
      </c>
      <c r="H7" s="21">
        <v>0</v>
      </c>
      <c r="I7" s="12">
        <f t="shared" si="1"/>
        <v>0.20451764728096331</v>
      </c>
      <c r="J7" s="21">
        <v>0</v>
      </c>
      <c r="K7" s="12">
        <f t="shared" si="2"/>
        <v>0.20451764728096331</v>
      </c>
      <c r="L7" s="20">
        <v>690</v>
      </c>
      <c r="M7" s="21">
        <f t="shared" si="3"/>
        <v>11052.69420289855</v>
      </c>
      <c r="N7" s="21">
        <f t="shared" si="4"/>
        <v>7626359</v>
      </c>
      <c r="O7" s="21">
        <f t="shared" si="5"/>
        <v>1559725</v>
      </c>
    </row>
    <row r="8" spans="1:15">
      <c r="A8" s="11" t="s">
        <v>372</v>
      </c>
      <c r="B8" s="11" t="s">
        <v>359</v>
      </c>
      <c r="C8" s="21">
        <v>448519</v>
      </c>
      <c r="D8" s="21">
        <v>11939593</v>
      </c>
      <c r="E8" s="12">
        <f t="shared" si="0"/>
        <v>3.7565685865506473E-2</v>
      </c>
      <c r="F8" s="12"/>
      <c r="G8" s="11" t="s">
        <v>373</v>
      </c>
      <c r="H8" s="21">
        <v>1128287</v>
      </c>
      <c r="I8" s="12">
        <f t="shared" si="1"/>
        <v>0.13206530574367151</v>
      </c>
      <c r="J8" s="21">
        <v>308467</v>
      </c>
      <c r="K8" s="12">
        <f t="shared" si="2"/>
        <v>0.15392421330398448</v>
      </c>
      <c r="L8" s="20">
        <f>442+427</f>
        <v>869</v>
      </c>
      <c r="M8" s="21">
        <f t="shared" si="3"/>
        <v>14094.430379746835</v>
      </c>
      <c r="N8" s="21">
        <f t="shared" si="4"/>
        <v>12248060</v>
      </c>
      <c r="O8" s="21">
        <f t="shared" si="5"/>
        <v>756986</v>
      </c>
    </row>
    <row r="9" spans="1:15">
      <c r="A9" s="11" t="s">
        <v>374</v>
      </c>
      <c r="B9" s="11" t="s">
        <v>375</v>
      </c>
      <c r="C9" s="21">
        <v>123261</v>
      </c>
      <c r="D9" s="21">
        <v>2471049</v>
      </c>
      <c r="E9" s="12">
        <f t="shared" ref="E9" si="6">C9/D9</f>
        <v>4.9882054139760081E-2</v>
      </c>
      <c r="F9" s="12" t="s">
        <v>376</v>
      </c>
      <c r="G9" s="11" t="s">
        <v>377</v>
      </c>
      <c r="H9" s="21">
        <v>94303</v>
      </c>
      <c r="I9" s="12">
        <f t="shared" ref="I9" si="7">(C9+H9)/D9</f>
        <v>8.8045198618076775E-2</v>
      </c>
      <c r="J9" s="21">
        <v>107100</v>
      </c>
      <c r="K9" s="12">
        <f t="shared" ref="K9" si="8">(C9+H9+J9)/(D9+J9)</f>
        <v>0.12592910650237826</v>
      </c>
      <c r="L9" s="20">
        <v>280</v>
      </c>
      <c r="M9" s="21">
        <f t="shared" si="3"/>
        <v>9207.6749999999993</v>
      </c>
      <c r="N9" s="21">
        <f t="shared" si="4"/>
        <v>2578149</v>
      </c>
      <c r="O9" s="21">
        <f t="shared" si="5"/>
        <v>230361</v>
      </c>
    </row>
    <row r="10" spans="1:15">
      <c r="A10" s="11" t="s">
        <v>378</v>
      </c>
      <c r="B10" s="11" t="s">
        <v>379</v>
      </c>
      <c r="C10" s="21">
        <v>22667</v>
      </c>
      <c r="D10" s="21">
        <v>1224403</v>
      </c>
      <c r="E10" s="12">
        <f t="shared" si="0"/>
        <v>1.8512695574904668E-2</v>
      </c>
      <c r="F10" s="12" t="s">
        <v>380</v>
      </c>
      <c r="G10" s="11" t="s">
        <v>381</v>
      </c>
      <c r="H10" s="21">
        <v>44</v>
      </c>
      <c r="I10" s="12">
        <f t="shared" si="1"/>
        <v>1.8548631455493004E-2</v>
      </c>
      <c r="J10" s="21">
        <v>4459</v>
      </c>
      <c r="K10" s="12">
        <f t="shared" si="2"/>
        <v>2.210988703369459E-2</v>
      </c>
      <c r="L10" s="20">
        <v>120</v>
      </c>
      <c r="M10" s="21">
        <f t="shared" si="3"/>
        <v>10240.516666666666</v>
      </c>
      <c r="N10" s="21">
        <f t="shared" si="4"/>
        <v>1228862</v>
      </c>
      <c r="O10" s="21">
        <f t="shared" si="5"/>
        <v>27126</v>
      </c>
    </row>
    <row r="11" spans="1:15">
      <c r="A11" s="11" t="s">
        <v>382</v>
      </c>
      <c r="B11" s="11" t="s">
        <v>371</v>
      </c>
      <c r="C11" s="21">
        <v>240374</v>
      </c>
      <c r="D11" s="21">
        <v>6198482</v>
      </c>
      <c r="E11" s="12">
        <f t="shared" si="0"/>
        <v>3.8779494721449544E-2</v>
      </c>
      <c r="F11" s="12"/>
      <c r="G11" s="11" t="s">
        <v>383</v>
      </c>
      <c r="H11" s="21">
        <v>193210</v>
      </c>
      <c r="I11" s="12">
        <f t="shared" si="1"/>
        <v>6.9950029700820301E-2</v>
      </c>
      <c r="J11" s="21">
        <v>616000</v>
      </c>
      <c r="K11" s="12">
        <f t="shared" si="2"/>
        <v>0.15402256547159418</v>
      </c>
      <c r="L11" s="20">
        <v>600</v>
      </c>
      <c r="M11" s="21">
        <f t="shared" si="3"/>
        <v>11357.47</v>
      </c>
      <c r="N11" s="21">
        <f t="shared" si="4"/>
        <v>6814482</v>
      </c>
      <c r="O11" s="21">
        <f t="shared" si="5"/>
        <v>856374</v>
      </c>
    </row>
    <row r="12" spans="1:15">
      <c r="A12" s="11" t="s">
        <v>384</v>
      </c>
      <c r="B12" s="11" t="s">
        <v>359</v>
      </c>
      <c r="C12" s="21">
        <v>207361</v>
      </c>
      <c r="D12" s="21">
        <v>1458489</v>
      </c>
      <c r="E12" s="12">
        <f t="shared" si="0"/>
        <v>0.14217522381039555</v>
      </c>
      <c r="F12" s="12" t="s">
        <v>360</v>
      </c>
      <c r="G12" s="11" t="s">
        <v>361</v>
      </c>
      <c r="H12" s="21">
        <v>6403</v>
      </c>
      <c r="I12" s="12">
        <f t="shared" si="1"/>
        <v>0.14656538376360739</v>
      </c>
      <c r="J12" s="21">
        <v>22082</v>
      </c>
      <c r="K12" s="12">
        <f t="shared" si="2"/>
        <v>0.15929394807814012</v>
      </c>
      <c r="L12" s="20">
        <v>130</v>
      </c>
      <c r="M12" s="21">
        <f t="shared" si="3"/>
        <v>11389.007692307692</v>
      </c>
      <c r="N12" s="21">
        <f t="shared" si="4"/>
        <v>1480571</v>
      </c>
      <c r="O12" s="21">
        <f t="shared" si="5"/>
        <v>229443</v>
      </c>
    </row>
    <row r="13" spans="1:15">
      <c r="A13" s="11" t="s">
        <v>385</v>
      </c>
      <c r="B13" s="11" t="s">
        <v>386</v>
      </c>
      <c r="C13" s="21">
        <v>158640</v>
      </c>
      <c r="D13" s="21">
        <v>4228830</v>
      </c>
      <c r="E13" s="12">
        <f t="shared" si="0"/>
        <v>3.7513922290562635E-2</v>
      </c>
      <c r="F13" s="12"/>
      <c r="G13" s="11" t="s">
        <v>368</v>
      </c>
      <c r="H13" s="21">
        <v>174574</v>
      </c>
      <c r="I13" s="12">
        <f t="shared" si="1"/>
        <v>7.8795789852039458E-2</v>
      </c>
      <c r="J13" s="21">
        <v>252699</v>
      </c>
      <c r="K13" s="12">
        <f t="shared" si="2"/>
        <v>0.1307395310841456</v>
      </c>
      <c r="L13" s="20">
        <v>542</v>
      </c>
      <c r="M13" s="21">
        <f t="shared" si="3"/>
        <v>8268.5036900368996</v>
      </c>
      <c r="N13" s="21">
        <f t="shared" si="4"/>
        <v>4481529</v>
      </c>
      <c r="O13" s="21">
        <f t="shared" si="5"/>
        <v>411339</v>
      </c>
    </row>
    <row r="14" spans="1:15">
      <c r="A14" s="11" t="s">
        <v>387</v>
      </c>
      <c r="B14" s="11" t="s">
        <v>359</v>
      </c>
      <c r="C14" s="21">
        <v>403737</v>
      </c>
      <c r="D14" s="21">
        <v>2967272</v>
      </c>
      <c r="E14" s="12">
        <f t="shared" si="0"/>
        <v>0.13606336055474524</v>
      </c>
      <c r="F14" s="12" t="s">
        <v>360</v>
      </c>
      <c r="G14" s="11" t="s">
        <v>361</v>
      </c>
      <c r="H14" s="21">
        <v>0</v>
      </c>
      <c r="I14" s="12">
        <f t="shared" si="1"/>
        <v>0.13606336055474524</v>
      </c>
      <c r="J14" s="21">
        <v>0</v>
      </c>
      <c r="K14" s="12">
        <f t="shared" si="2"/>
        <v>0.13606336055474524</v>
      </c>
      <c r="L14" s="20">
        <v>194</v>
      </c>
      <c r="M14" s="21">
        <f t="shared" si="3"/>
        <v>15295.216494845361</v>
      </c>
      <c r="N14" s="21">
        <f t="shared" si="4"/>
        <v>2967272</v>
      </c>
      <c r="O14" s="21">
        <f t="shared" si="5"/>
        <v>403737</v>
      </c>
    </row>
    <row r="15" spans="1:15">
      <c r="A15" s="11" t="s">
        <v>388</v>
      </c>
      <c r="B15" s="11" t="s">
        <v>389</v>
      </c>
      <c r="C15" s="21">
        <v>94741</v>
      </c>
      <c r="D15" s="21">
        <v>4254418</v>
      </c>
      <c r="E15" s="12">
        <f t="shared" si="0"/>
        <v>2.2268850874549703E-2</v>
      </c>
      <c r="F15" s="12"/>
      <c r="G15" s="11" t="s">
        <v>390</v>
      </c>
      <c r="H15" s="21">
        <v>479622</v>
      </c>
      <c r="I15" s="12">
        <f t="shared" si="1"/>
        <v>0.13500389477479646</v>
      </c>
      <c r="J15" s="21">
        <v>117500</v>
      </c>
      <c r="K15" s="12">
        <f t="shared" si="2"/>
        <v>0.15825159575271083</v>
      </c>
      <c r="L15" s="20">
        <v>530</v>
      </c>
      <c r="M15" s="21">
        <f t="shared" si="3"/>
        <v>8248.9018867924533</v>
      </c>
      <c r="N15" s="21">
        <f t="shared" si="4"/>
        <v>4371918</v>
      </c>
      <c r="O15" s="21">
        <f t="shared" si="5"/>
        <v>212241</v>
      </c>
    </row>
    <row r="16" spans="1:15">
      <c r="A16" s="11" t="s">
        <v>391</v>
      </c>
      <c r="B16" s="11" t="s">
        <v>392</v>
      </c>
      <c r="C16" s="21">
        <v>126765</v>
      </c>
      <c r="D16" s="21">
        <v>1003405</v>
      </c>
      <c r="E16" s="12">
        <f t="shared" si="0"/>
        <v>0.12633482990417627</v>
      </c>
      <c r="F16" s="12" t="s">
        <v>360</v>
      </c>
      <c r="G16" s="11" t="s">
        <v>393</v>
      </c>
      <c r="H16" s="21">
        <v>0</v>
      </c>
      <c r="I16" s="12">
        <f t="shared" si="1"/>
        <v>0.12633482990417627</v>
      </c>
      <c r="J16" s="21">
        <v>0</v>
      </c>
      <c r="K16" s="12">
        <f t="shared" si="2"/>
        <v>0.12633482990417627</v>
      </c>
      <c r="L16" s="20"/>
      <c r="M16" s="21"/>
      <c r="N16" s="21"/>
      <c r="O16" s="21"/>
    </row>
    <row r="17" spans="1:15">
      <c r="A17" s="11" t="s">
        <v>394</v>
      </c>
      <c r="B17" s="11" t="s">
        <v>395</v>
      </c>
      <c r="C17" s="21">
        <v>180775</v>
      </c>
      <c r="D17" s="21">
        <v>3441657</v>
      </c>
      <c r="E17" s="12">
        <f t="shared" si="0"/>
        <v>5.2525571258263098E-2</v>
      </c>
      <c r="F17" s="12" t="s">
        <v>360</v>
      </c>
      <c r="G17" s="11" t="s">
        <v>361</v>
      </c>
      <c r="H17" s="21">
        <v>23849</v>
      </c>
      <c r="I17" s="12">
        <f t="shared" si="1"/>
        <v>5.9455082246720109E-2</v>
      </c>
      <c r="J17" s="21">
        <v>109837</v>
      </c>
      <c r="K17" s="12">
        <f t="shared" si="2"/>
        <v>8.8543300368802536E-2</v>
      </c>
      <c r="L17" s="20">
        <v>398</v>
      </c>
      <c r="M17" s="21">
        <f t="shared" si="3"/>
        <v>8923.3517587939696</v>
      </c>
      <c r="N17" s="21">
        <f t="shared" si="4"/>
        <v>3551494</v>
      </c>
      <c r="O17" s="21">
        <f t="shared" si="5"/>
        <v>290612</v>
      </c>
    </row>
    <row r="18" spans="1:15">
      <c r="A18" s="11" t="s">
        <v>396</v>
      </c>
      <c r="B18" s="11" t="s">
        <v>371</v>
      </c>
      <c r="C18" s="21">
        <v>379585</v>
      </c>
      <c r="D18" s="21">
        <v>4113801</v>
      </c>
      <c r="E18" s="12">
        <f t="shared" si="0"/>
        <v>9.2271113746143774E-2</v>
      </c>
      <c r="F18" s="12" t="s">
        <v>360</v>
      </c>
      <c r="G18" s="11" t="s">
        <v>397</v>
      </c>
      <c r="H18" s="21">
        <v>39974</v>
      </c>
      <c r="I18" s="12">
        <f t="shared" ref="I18:I29" si="9">(C18+H18)/D18</f>
        <v>0.10198816131358809</v>
      </c>
      <c r="J18" s="21">
        <v>224990</v>
      </c>
      <c r="K18" s="12">
        <f t="shared" si="2"/>
        <v>0.14855497764238931</v>
      </c>
      <c r="L18" s="20">
        <v>415</v>
      </c>
      <c r="M18" s="21">
        <f t="shared" si="3"/>
        <v>10454.918072289156</v>
      </c>
      <c r="N18" s="21">
        <f t="shared" si="4"/>
        <v>4338791</v>
      </c>
      <c r="O18" s="21">
        <f t="shared" si="5"/>
        <v>604575</v>
      </c>
    </row>
    <row r="19" spans="1:15">
      <c r="A19" s="11" t="s">
        <v>398</v>
      </c>
      <c r="B19" s="11" t="s">
        <v>399</v>
      </c>
      <c r="C19" s="21">
        <v>75140</v>
      </c>
      <c r="D19" s="21">
        <v>1729335</v>
      </c>
      <c r="E19" s="12">
        <f t="shared" si="0"/>
        <v>4.3450227977806496E-2</v>
      </c>
      <c r="F19" s="12" t="s">
        <v>399</v>
      </c>
      <c r="G19" s="11" t="s">
        <v>400</v>
      </c>
      <c r="H19" s="21">
        <v>0</v>
      </c>
      <c r="I19" s="12">
        <f t="shared" si="9"/>
        <v>4.3450227977806496E-2</v>
      </c>
      <c r="J19" s="21"/>
      <c r="K19" s="12"/>
      <c r="L19" s="20"/>
      <c r="M19" s="21"/>
      <c r="N19" s="21"/>
      <c r="O19" s="21"/>
    </row>
    <row r="20" spans="1:15">
      <c r="A20" s="11" t="s">
        <v>401</v>
      </c>
      <c r="B20" s="11" t="s">
        <v>399</v>
      </c>
      <c r="C20" s="21">
        <v>127441</v>
      </c>
      <c r="D20" s="21">
        <v>792005</v>
      </c>
      <c r="E20" s="12">
        <f t="shared" si="0"/>
        <v>0.16090933769357516</v>
      </c>
      <c r="F20" s="12" t="s">
        <v>399</v>
      </c>
      <c r="G20" s="11" t="s">
        <v>400</v>
      </c>
      <c r="H20" s="21">
        <v>0</v>
      </c>
      <c r="I20" s="12">
        <f t="shared" si="9"/>
        <v>0.16090933769357516</v>
      </c>
      <c r="J20" s="21"/>
      <c r="K20" s="12"/>
      <c r="L20" s="20"/>
      <c r="M20" s="21"/>
      <c r="N20" s="21"/>
      <c r="O20" s="21"/>
    </row>
    <row r="21" spans="1:15">
      <c r="A21" s="11" t="s">
        <v>402</v>
      </c>
      <c r="B21" s="11" t="s">
        <v>359</v>
      </c>
      <c r="C21" s="21">
        <v>1187170</v>
      </c>
      <c r="D21" s="21">
        <v>7746165</v>
      </c>
      <c r="E21" s="12">
        <f t="shared" ref="E21" si="10">C21/D21</f>
        <v>0.15325906432408812</v>
      </c>
      <c r="F21" s="12" t="s">
        <v>360</v>
      </c>
      <c r="G21" s="11" t="s">
        <v>403</v>
      </c>
      <c r="H21" s="21">
        <v>3384</v>
      </c>
      <c r="I21" s="12">
        <f t="shared" ref="I21" si="11">(C21+H21)/D21</f>
        <v>0.15369592566127885</v>
      </c>
      <c r="J21" s="21">
        <v>0</v>
      </c>
      <c r="K21" s="12">
        <f t="shared" si="2"/>
        <v>0.15369592566127885</v>
      </c>
      <c r="L21" s="20">
        <v>475</v>
      </c>
      <c r="M21" s="21">
        <f t="shared" si="3"/>
        <v>16307.715789473685</v>
      </c>
      <c r="N21" s="21">
        <f t="shared" si="4"/>
        <v>7746165</v>
      </c>
      <c r="O21" s="21">
        <f t="shared" si="5"/>
        <v>1187170</v>
      </c>
    </row>
    <row r="22" spans="1:15">
      <c r="A22" s="11" t="s">
        <v>404</v>
      </c>
      <c r="B22" s="11" t="s">
        <v>399</v>
      </c>
      <c r="C22" s="21">
        <f>194978+17091</f>
        <v>212069</v>
      </c>
      <c r="D22" s="21">
        <v>4395652</v>
      </c>
      <c r="E22" s="12">
        <f t="shared" si="0"/>
        <v>4.8245175004754698E-2</v>
      </c>
      <c r="F22" s="12" t="s">
        <v>399</v>
      </c>
      <c r="G22" s="11" t="s">
        <v>405</v>
      </c>
      <c r="H22" s="21">
        <v>130303</v>
      </c>
      <c r="I22" s="12">
        <f t="shared" si="9"/>
        <v>7.7888786464442597E-2</v>
      </c>
      <c r="J22" s="21"/>
      <c r="K22" s="12"/>
      <c r="L22" s="20"/>
      <c r="M22" s="21"/>
      <c r="N22" s="21"/>
      <c r="O22" s="21"/>
    </row>
    <row r="23" spans="1:15">
      <c r="A23" s="11" t="s">
        <v>406</v>
      </c>
      <c r="B23" s="11" t="s">
        <v>359</v>
      </c>
      <c r="C23" s="21">
        <v>970695</v>
      </c>
      <c r="D23" s="21">
        <v>12300097</v>
      </c>
      <c r="E23" s="12">
        <f t="shared" si="0"/>
        <v>7.8917670324063299E-2</v>
      </c>
      <c r="F23" s="12"/>
      <c r="G23" s="11" t="s">
        <v>407</v>
      </c>
      <c r="H23" s="21">
        <v>343256</v>
      </c>
      <c r="I23" s="12">
        <f t="shared" si="9"/>
        <v>0.10682444211618819</v>
      </c>
      <c r="J23" s="21">
        <v>1149802</v>
      </c>
      <c r="K23" s="12">
        <f t="shared" si="2"/>
        <v>0.18318003726273335</v>
      </c>
      <c r="L23" s="20"/>
      <c r="M23" s="21"/>
      <c r="N23" s="21"/>
      <c r="O23" s="21"/>
    </row>
    <row r="24" spans="1:15">
      <c r="A24" s="11" t="s">
        <v>408</v>
      </c>
      <c r="B24" s="11" t="s">
        <v>371</v>
      </c>
      <c r="C24" s="21">
        <v>160852</v>
      </c>
      <c r="D24" s="21">
        <v>1674074</v>
      </c>
      <c r="E24" s="12">
        <f t="shared" si="0"/>
        <v>9.6084163543547055E-2</v>
      </c>
      <c r="F24" s="12" t="s">
        <v>360</v>
      </c>
      <c r="G24" s="11" t="s">
        <v>397</v>
      </c>
      <c r="H24" s="21">
        <v>9250</v>
      </c>
      <c r="I24" s="12">
        <f t="shared" si="9"/>
        <v>0.10160960626591178</v>
      </c>
      <c r="J24" s="21">
        <v>100000</v>
      </c>
      <c r="K24" s="12">
        <f t="shared" si="2"/>
        <v>0.15224956794361452</v>
      </c>
      <c r="L24" s="20">
        <v>160</v>
      </c>
      <c r="M24" s="21">
        <f t="shared" si="3"/>
        <v>11087.9625</v>
      </c>
      <c r="N24" s="21">
        <f t="shared" si="4"/>
        <v>1774074</v>
      </c>
      <c r="O24" s="21">
        <f t="shared" si="5"/>
        <v>260852</v>
      </c>
    </row>
    <row r="25" spans="1:15">
      <c r="A25" s="11" t="s">
        <v>409</v>
      </c>
      <c r="B25" s="11" t="s">
        <v>359</v>
      </c>
      <c r="C25" s="21">
        <v>403563</v>
      </c>
      <c r="D25" s="21">
        <v>7508968</v>
      </c>
      <c r="E25" s="12">
        <f t="shared" si="0"/>
        <v>5.3744136344701432E-2</v>
      </c>
      <c r="F25" s="12" t="s">
        <v>410</v>
      </c>
      <c r="G25" s="11" t="s">
        <v>411</v>
      </c>
      <c r="H25" s="21">
        <v>0</v>
      </c>
      <c r="I25" s="12">
        <f t="shared" si="9"/>
        <v>5.3744136344701432E-2</v>
      </c>
      <c r="J25" s="21">
        <v>0</v>
      </c>
      <c r="K25" s="12"/>
      <c r="L25" s="20"/>
      <c r="M25" s="21"/>
      <c r="N25" s="21"/>
      <c r="O25" s="21"/>
    </row>
    <row r="26" spans="1:15">
      <c r="A26" s="11" t="s">
        <v>412</v>
      </c>
      <c r="B26" s="11" t="s">
        <v>359</v>
      </c>
      <c r="C26" s="21">
        <v>150771</v>
      </c>
      <c r="D26" s="21">
        <v>1714093</v>
      </c>
      <c r="E26" s="12">
        <f t="shared" si="0"/>
        <v>8.79596381293197E-2</v>
      </c>
      <c r="F26" s="12" t="s">
        <v>360</v>
      </c>
      <c r="G26" s="11" t="s">
        <v>413</v>
      </c>
      <c r="H26" s="21">
        <v>0</v>
      </c>
      <c r="I26" s="12">
        <f t="shared" si="9"/>
        <v>8.79596381293197E-2</v>
      </c>
      <c r="J26" s="21">
        <v>0</v>
      </c>
      <c r="K26" s="12">
        <f t="shared" si="2"/>
        <v>8.79596381293197E-2</v>
      </c>
      <c r="L26" s="20">
        <v>27</v>
      </c>
      <c r="M26" s="21">
        <f t="shared" si="3"/>
        <v>63484.925925925927</v>
      </c>
      <c r="N26" s="21">
        <f t="shared" si="4"/>
        <v>1714093</v>
      </c>
      <c r="O26" s="21">
        <f t="shared" si="5"/>
        <v>150771</v>
      </c>
    </row>
    <row r="27" spans="1:15">
      <c r="A27" s="11" t="s">
        <v>414</v>
      </c>
      <c r="B27" s="11" t="s">
        <v>227</v>
      </c>
      <c r="C27" s="21">
        <v>125866</v>
      </c>
      <c r="D27" s="21">
        <v>1016320</v>
      </c>
      <c r="E27" s="12">
        <f t="shared" si="0"/>
        <v>0.12384485201511335</v>
      </c>
      <c r="F27" s="12" t="s">
        <v>360</v>
      </c>
      <c r="G27" s="11" t="s">
        <v>361</v>
      </c>
      <c r="H27" s="21">
        <v>47227</v>
      </c>
      <c r="I27" s="12">
        <f t="shared" si="9"/>
        <v>0.1703134839420655</v>
      </c>
      <c r="J27" s="21">
        <v>0</v>
      </c>
      <c r="K27" s="12">
        <f t="shared" si="2"/>
        <v>0.1703134839420655</v>
      </c>
      <c r="L27" s="20">
        <v>120</v>
      </c>
      <c r="M27" s="21">
        <f t="shared" si="3"/>
        <v>8469.3333333333339</v>
      </c>
      <c r="N27" s="21">
        <f t="shared" si="4"/>
        <v>1016320</v>
      </c>
      <c r="O27" s="21">
        <f t="shared" si="5"/>
        <v>125866</v>
      </c>
    </row>
    <row r="28" spans="1:15">
      <c r="A28" s="11" t="s">
        <v>415</v>
      </c>
      <c r="B28" s="11" t="s">
        <v>359</v>
      </c>
      <c r="C28" s="21">
        <v>155091</v>
      </c>
      <c r="D28" s="21">
        <v>5467188</v>
      </c>
      <c r="E28" s="12">
        <f t="shared" si="0"/>
        <v>2.8367599577698809E-2</v>
      </c>
      <c r="F28" s="12"/>
      <c r="G28" s="11" t="s">
        <v>416</v>
      </c>
      <c r="H28" s="21">
        <v>26815</v>
      </c>
      <c r="I28" s="12">
        <f t="shared" si="9"/>
        <v>3.3272314762177561E-2</v>
      </c>
      <c r="J28" s="21">
        <v>325036</v>
      </c>
      <c r="K28" s="12">
        <f t="shared" si="2"/>
        <v>8.752113177943395E-2</v>
      </c>
      <c r="L28" s="20">
        <v>570</v>
      </c>
      <c r="M28" s="21">
        <f t="shared" si="3"/>
        <v>10161.796491228069</v>
      </c>
      <c r="N28" s="21">
        <f t="shared" si="4"/>
        <v>5792224</v>
      </c>
      <c r="O28" s="21">
        <f t="shared" si="5"/>
        <v>480127</v>
      </c>
    </row>
    <row r="29" spans="1:15">
      <c r="A29" s="11" t="s">
        <v>417</v>
      </c>
      <c r="B29" s="11" t="s">
        <v>359</v>
      </c>
      <c r="C29" s="21">
        <v>1000609</v>
      </c>
      <c r="D29" s="21">
        <v>7035870</v>
      </c>
      <c r="E29" s="12">
        <f t="shared" si="0"/>
        <v>0.14221539056292967</v>
      </c>
      <c r="F29" s="12" t="s">
        <v>360</v>
      </c>
      <c r="G29" s="11" t="s">
        <v>361</v>
      </c>
      <c r="H29" s="21">
        <v>0</v>
      </c>
      <c r="I29" s="12">
        <f t="shared" si="9"/>
        <v>0.14221539056292967</v>
      </c>
      <c r="J29" s="21">
        <v>0</v>
      </c>
      <c r="K29" s="12">
        <f t="shared" si="2"/>
        <v>0.14221539056292967</v>
      </c>
      <c r="L29" s="20">
        <v>690</v>
      </c>
      <c r="M29" s="21">
        <f t="shared" si="3"/>
        <v>10196.91304347826</v>
      </c>
      <c r="N29" s="21">
        <f t="shared" si="4"/>
        <v>7035870</v>
      </c>
      <c r="O29" s="21">
        <f t="shared" si="5"/>
        <v>1000609</v>
      </c>
    </row>
    <row r="30" spans="1:15">
      <c r="A30" s="11" t="s">
        <v>418</v>
      </c>
      <c r="B30" s="11" t="s">
        <v>410</v>
      </c>
      <c r="C30" s="21"/>
      <c r="D30" s="21"/>
      <c r="E30" s="12"/>
      <c r="F30" s="12" t="s">
        <v>410</v>
      </c>
      <c r="G30" s="11"/>
      <c r="H30" s="21"/>
      <c r="I30" s="12"/>
      <c r="J30" s="21"/>
      <c r="K30" s="12"/>
      <c r="L30" s="20"/>
      <c r="M30" s="21"/>
      <c r="N30" s="21"/>
      <c r="O30" s="21"/>
    </row>
    <row r="31" spans="1:15">
      <c r="A31" s="11" t="s">
        <v>419</v>
      </c>
      <c r="B31" s="11" t="s">
        <v>359</v>
      </c>
      <c r="C31" s="21">
        <v>134322</v>
      </c>
      <c r="D31" s="21">
        <v>1741090</v>
      </c>
      <c r="E31" s="12">
        <f t="shared" ref="E31:E54" si="12">C31/D31</f>
        <v>7.7148223239464936E-2</v>
      </c>
      <c r="F31" s="12" t="s">
        <v>364</v>
      </c>
      <c r="G31" s="11" t="s">
        <v>393</v>
      </c>
      <c r="H31" s="21">
        <v>0</v>
      </c>
      <c r="I31" s="12">
        <f t="shared" ref="I31:I51" si="13">(C31+H31)/D31</f>
        <v>7.7148223239464936E-2</v>
      </c>
      <c r="J31" s="21"/>
      <c r="K31" s="12"/>
      <c r="L31" s="20"/>
      <c r="M31" s="21"/>
      <c r="N31" s="21"/>
      <c r="O31" s="21"/>
    </row>
    <row r="32" spans="1:15">
      <c r="A32" s="11" t="s">
        <v>420</v>
      </c>
      <c r="B32" s="11" t="s">
        <v>359</v>
      </c>
      <c r="C32" s="21">
        <v>842571</v>
      </c>
      <c r="D32" s="21">
        <v>4079756</v>
      </c>
      <c r="E32" s="12">
        <f t="shared" si="12"/>
        <v>0.20652485099599094</v>
      </c>
      <c r="F32" s="12" t="s">
        <v>360</v>
      </c>
      <c r="G32" s="11" t="s">
        <v>421</v>
      </c>
      <c r="H32" s="21">
        <v>0</v>
      </c>
      <c r="I32" s="12">
        <f t="shared" si="13"/>
        <v>0.20652485099599094</v>
      </c>
      <c r="J32" s="21">
        <v>0</v>
      </c>
      <c r="K32" s="12">
        <f t="shared" si="2"/>
        <v>0.20652485099599094</v>
      </c>
      <c r="L32" s="20">
        <v>246</v>
      </c>
      <c r="M32" s="21">
        <f t="shared" si="3"/>
        <v>16584.373983739839</v>
      </c>
      <c r="N32" s="21">
        <f t="shared" si="4"/>
        <v>4079756</v>
      </c>
      <c r="O32" s="21">
        <f t="shared" si="5"/>
        <v>842571</v>
      </c>
    </row>
    <row r="33" spans="1:15">
      <c r="A33" s="11" t="s">
        <v>422</v>
      </c>
      <c r="B33" s="11" t="s">
        <v>423</v>
      </c>
      <c r="C33" s="21">
        <v>143396</v>
      </c>
      <c r="D33" s="21">
        <v>1885251</v>
      </c>
      <c r="E33" s="12">
        <f t="shared" si="12"/>
        <v>7.606202038879703E-2</v>
      </c>
      <c r="F33" s="12" t="s">
        <v>360</v>
      </c>
      <c r="G33" s="11" t="s">
        <v>361</v>
      </c>
      <c r="H33" s="21">
        <v>145</v>
      </c>
      <c r="I33" s="12">
        <f t="shared" si="13"/>
        <v>7.6138933224276242E-2</v>
      </c>
      <c r="J33" s="21">
        <v>1123</v>
      </c>
      <c r="K33" s="12">
        <f t="shared" si="2"/>
        <v>7.6688928070467469E-2</v>
      </c>
      <c r="L33" s="20">
        <v>175</v>
      </c>
      <c r="M33" s="21">
        <f t="shared" si="3"/>
        <v>10779.28</v>
      </c>
      <c r="N33" s="21">
        <f t="shared" si="4"/>
        <v>1886374</v>
      </c>
      <c r="O33" s="21">
        <f t="shared" si="5"/>
        <v>144519</v>
      </c>
    </row>
    <row r="34" spans="1:15">
      <c r="A34" s="11" t="s">
        <v>424</v>
      </c>
      <c r="B34" s="11" t="s">
        <v>359</v>
      </c>
      <c r="C34" s="21">
        <v>931322</v>
      </c>
      <c r="D34" s="21">
        <v>9679037</v>
      </c>
      <c r="E34" s="12">
        <f t="shared" si="12"/>
        <v>9.622052276481638E-2</v>
      </c>
      <c r="F34" s="12" t="s">
        <v>380</v>
      </c>
      <c r="G34" s="11" t="s">
        <v>425</v>
      </c>
      <c r="H34" s="21">
        <v>597748</v>
      </c>
      <c r="I34" s="12">
        <f t="shared" si="13"/>
        <v>0.15797749300886027</v>
      </c>
      <c r="J34" s="21">
        <v>153108</v>
      </c>
      <c r="K34" s="12">
        <f t="shared" si="2"/>
        <v>0.17108962489873777</v>
      </c>
      <c r="L34" s="20">
        <v>980</v>
      </c>
      <c r="M34" s="21">
        <f t="shared" si="3"/>
        <v>10032.801020408164</v>
      </c>
      <c r="N34" s="21">
        <f t="shared" si="4"/>
        <v>9832145</v>
      </c>
      <c r="O34" s="21">
        <f t="shared" si="5"/>
        <v>1084430</v>
      </c>
    </row>
    <row r="35" spans="1:15">
      <c r="A35" s="11" t="s">
        <v>426</v>
      </c>
      <c r="B35" s="11" t="s">
        <v>427</v>
      </c>
      <c r="C35" s="21">
        <v>0</v>
      </c>
      <c r="D35" s="21">
        <v>1894671</v>
      </c>
      <c r="E35" s="12">
        <f t="shared" si="12"/>
        <v>0</v>
      </c>
      <c r="F35" s="12" t="s">
        <v>428</v>
      </c>
      <c r="G35" s="11" t="s">
        <v>429</v>
      </c>
      <c r="H35" s="21">
        <v>0</v>
      </c>
      <c r="I35" s="12">
        <f t="shared" si="13"/>
        <v>0</v>
      </c>
      <c r="J35" s="21">
        <v>0</v>
      </c>
      <c r="K35" s="12">
        <f t="shared" si="2"/>
        <v>0</v>
      </c>
      <c r="L35" s="20"/>
      <c r="M35" s="21"/>
      <c r="N35" s="21"/>
      <c r="O35" s="21"/>
    </row>
    <row r="36" spans="1:15">
      <c r="A36" s="11" t="s">
        <v>430</v>
      </c>
      <c r="B36" s="11" t="s">
        <v>359</v>
      </c>
      <c r="C36" s="21">
        <v>1594812</v>
      </c>
      <c r="D36" s="21">
        <v>11104196</v>
      </c>
      <c r="E36" s="12">
        <f t="shared" si="12"/>
        <v>0.14362246487724101</v>
      </c>
      <c r="F36" s="12" t="s">
        <v>380</v>
      </c>
      <c r="G36" s="11" t="s">
        <v>431</v>
      </c>
      <c r="H36" s="21">
        <v>2681</v>
      </c>
      <c r="I36" s="12">
        <f t="shared" si="13"/>
        <v>0.14386390514000294</v>
      </c>
      <c r="J36" s="21">
        <v>32500</v>
      </c>
      <c r="K36" s="12">
        <f t="shared" si="2"/>
        <v>0.14636235019794022</v>
      </c>
      <c r="L36" s="20">
        <f>295+508</f>
        <v>803</v>
      </c>
      <c r="M36" s="21">
        <f t="shared" si="3"/>
        <v>13868.861768368617</v>
      </c>
      <c r="N36" s="21">
        <f t="shared" si="4"/>
        <v>11136696</v>
      </c>
      <c r="O36" s="21">
        <f t="shared" si="5"/>
        <v>1627312</v>
      </c>
    </row>
    <row r="37" spans="1:15">
      <c r="A37" s="11" t="s">
        <v>432</v>
      </c>
      <c r="B37" s="11" t="s">
        <v>359</v>
      </c>
      <c r="C37" s="21">
        <v>25034</v>
      </c>
      <c r="D37" s="21">
        <v>7353141</v>
      </c>
      <c r="E37" s="12">
        <f t="shared" ref="E37" si="14">C37/D37</f>
        <v>3.4045314784525416E-3</v>
      </c>
      <c r="F37" s="11"/>
      <c r="G37" s="11" t="s">
        <v>433</v>
      </c>
      <c r="H37" s="21">
        <v>0</v>
      </c>
      <c r="I37" s="12">
        <f t="shared" ref="I37" si="15">(C37+H37)/D37</f>
        <v>3.4045314784525416E-3</v>
      </c>
      <c r="J37" s="21">
        <v>0</v>
      </c>
      <c r="K37" s="12">
        <f t="shared" si="2"/>
        <v>3.4045314784525416E-3</v>
      </c>
      <c r="L37" s="20">
        <v>560</v>
      </c>
      <c r="M37" s="21">
        <f t="shared" si="3"/>
        <v>13130.608928571428</v>
      </c>
      <c r="N37" s="21">
        <f t="shared" si="4"/>
        <v>7353141</v>
      </c>
      <c r="O37" s="21">
        <f t="shared" si="5"/>
        <v>25034</v>
      </c>
    </row>
    <row r="38" spans="1:15">
      <c r="A38" s="11" t="s">
        <v>434</v>
      </c>
      <c r="B38" s="11" t="s">
        <v>435</v>
      </c>
      <c r="C38" s="21">
        <v>65558</v>
      </c>
      <c r="D38" s="21">
        <v>2133112</v>
      </c>
      <c r="E38" s="12">
        <f t="shared" si="12"/>
        <v>3.0733501100739202E-2</v>
      </c>
      <c r="F38" s="11"/>
      <c r="G38" s="11" t="s">
        <v>436</v>
      </c>
      <c r="H38" s="21">
        <v>18516</v>
      </c>
      <c r="I38" s="12">
        <f t="shared" si="13"/>
        <v>3.9413776679330478E-2</v>
      </c>
      <c r="J38" s="21">
        <v>67068</v>
      </c>
      <c r="K38" s="12">
        <f t="shared" si="2"/>
        <v>6.8695288567299034E-2</v>
      </c>
      <c r="L38" s="20">
        <v>220</v>
      </c>
      <c r="M38" s="21">
        <f t="shared" si="3"/>
        <v>10000.818181818182</v>
      </c>
      <c r="N38" s="21">
        <f t="shared" si="4"/>
        <v>2200180</v>
      </c>
      <c r="O38" s="21">
        <f t="shared" si="5"/>
        <v>132626</v>
      </c>
    </row>
    <row r="39" spans="1:15">
      <c r="A39" s="11" t="s">
        <v>437</v>
      </c>
      <c r="B39" s="11" t="s">
        <v>227</v>
      </c>
      <c r="C39" s="21">
        <v>453101</v>
      </c>
      <c r="D39" s="21">
        <v>2616486</v>
      </c>
      <c r="E39" s="12">
        <f t="shared" si="12"/>
        <v>0.1731715743940537</v>
      </c>
      <c r="F39" s="11" t="s">
        <v>360</v>
      </c>
      <c r="G39" s="11" t="s">
        <v>438</v>
      </c>
      <c r="H39" s="21">
        <v>15814</v>
      </c>
      <c r="I39" s="12">
        <f t="shared" si="13"/>
        <v>0.17921555857742025</v>
      </c>
      <c r="J39" s="21">
        <f>218137+92508</f>
        <v>310645</v>
      </c>
      <c r="K39" s="12">
        <f t="shared" si="2"/>
        <v>0.26632221106605752</v>
      </c>
      <c r="L39" s="20">
        <v>375</v>
      </c>
      <c r="M39" s="21">
        <f t="shared" si="3"/>
        <v>7805.6826666666666</v>
      </c>
      <c r="N39" s="21">
        <f t="shared" si="4"/>
        <v>2927131</v>
      </c>
      <c r="O39" s="21">
        <f t="shared" si="5"/>
        <v>763746</v>
      </c>
    </row>
    <row r="40" spans="1:15">
      <c r="A40" s="11" t="s">
        <v>439</v>
      </c>
      <c r="B40" s="11" t="s">
        <v>227</v>
      </c>
      <c r="C40" s="21">
        <v>243948</v>
      </c>
      <c r="D40" s="21">
        <v>1765144</v>
      </c>
      <c r="E40" s="12">
        <f t="shared" si="12"/>
        <v>0.1382028888294666</v>
      </c>
      <c r="F40" s="11" t="s">
        <v>360</v>
      </c>
      <c r="G40" s="11" t="s">
        <v>361</v>
      </c>
      <c r="H40" s="21">
        <v>7750</v>
      </c>
      <c r="I40" s="12">
        <f t="shared" si="13"/>
        <v>0.14259346546230789</v>
      </c>
      <c r="J40" s="21">
        <v>100000</v>
      </c>
      <c r="K40" s="12">
        <f t="shared" si="2"/>
        <v>0.18856345676258776</v>
      </c>
      <c r="L40" s="20">
        <v>200</v>
      </c>
      <c r="M40" s="21">
        <f t="shared" si="3"/>
        <v>9325.7199999999993</v>
      </c>
      <c r="N40" s="21">
        <f t="shared" si="4"/>
        <v>1865144</v>
      </c>
      <c r="O40" s="21">
        <f t="shared" si="5"/>
        <v>343948</v>
      </c>
    </row>
    <row r="41" spans="1:15">
      <c r="A41" s="11" t="s">
        <v>440</v>
      </c>
      <c r="B41" s="11" t="s">
        <v>227</v>
      </c>
      <c r="C41" s="21">
        <v>105036</v>
      </c>
      <c r="D41" s="21">
        <v>3012863</v>
      </c>
      <c r="E41" s="12">
        <f t="shared" si="12"/>
        <v>3.4862521130233935E-2</v>
      </c>
      <c r="F41" s="11" t="s">
        <v>380</v>
      </c>
      <c r="G41" s="11" t="s">
        <v>441</v>
      </c>
      <c r="H41" s="21">
        <v>15563</v>
      </c>
      <c r="I41" s="12">
        <f t="shared" si="13"/>
        <v>4.002803977479228E-2</v>
      </c>
      <c r="J41" s="21">
        <v>200800</v>
      </c>
      <c r="K41" s="12">
        <f t="shared" si="2"/>
        <v>0.10001017530462902</v>
      </c>
      <c r="L41" s="20">
        <v>295</v>
      </c>
      <c r="M41" s="21">
        <f t="shared" si="3"/>
        <v>10893.772881355932</v>
      </c>
      <c r="N41" s="21">
        <f t="shared" si="4"/>
        <v>3213663</v>
      </c>
      <c r="O41" s="21">
        <f t="shared" si="5"/>
        <v>305836</v>
      </c>
    </row>
    <row r="42" spans="1:15">
      <c r="A42" s="11" t="s">
        <v>442</v>
      </c>
      <c r="B42" s="11" t="s">
        <v>443</v>
      </c>
      <c r="C42" s="21">
        <v>35543</v>
      </c>
      <c r="D42" s="21">
        <v>703013</v>
      </c>
      <c r="E42" s="12">
        <f t="shared" si="12"/>
        <v>5.0558097787665381E-2</v>
      </c>
      <c r="F42" s="11"/>
      <c r="G42" s="11" t="s">
        <v>444</v>
      </c>
      <c r="H42" s="21">
        <v>810</v>
      </c>
      <c r="I42" s="12">
        <f t="shared" si="13"/>
        <v>5.1710281317699676E-2</v>
      </c>
      <c r="J42" s="21">
        <v>12660</v>
      </c>
      <c r="K42" s="12">
        <f t="shared" si="2"/>
        <v>6.8485188067734848E-2</v>
      </c>
      <c r="L42" s="20">
        <v>90</v>
      </c>
      <c r="M42" s="21">
        <f t="shared" si="3"/>
        <v>7951.9222222222224</v>
      </c>
      <c r="N42" s="21">
        <f t="shared" si="4"/>
        <v>715673</v>
      </c>
      <c r="O42" s="21">
        <f t="shared" si="5"/>
        <v>48203</v>
      </c>
    </row>
    <row r="43" spans="1:15">
      <c r="A43" s="11" t="s">
        <v>445</v>
      </c>
      <c r="B43" s="11" t="s">
        <v>359</v>
      </c>
      <c r="C43" s="21">
        <f>61703+256356</f>
        <v>318059</v>
      </c>
      <c r="D43" s="21">
        <v>1950700</v>
      </c>
      <c r="E43" s="12">
        <f t="shared" si="12"/>
        <v>0.16304864920285025</v>
      </c>
      <c r="F43" s="12" t="s">
        <v>360</v>
      </c>
      <c r="G43" s="11" t="s">
        <v>446</v>
      </c>
      <c r="H43" s="21">
        <v>165748</v>
      </c>
      <c r="I43" s="12">
        <f t="shared" si="13"/>
        <v>0.24801712205874815</v>
      </c>
      <c r="J43" s="21">
        <v>90383</v>
      </c>
      <c r="K43" s="12">
        <f t="shared" si="2"/>
        <v>0.28131634039380077</v>
      </c>
      <c r="L43" s="20">
        <v>85</v>
      </c>
      <c r="M43" s="21">
        <f t="shared" si="3"/>
        <v>24012.741176470587</v>
      </c>
      <c r="N43" s="21">
        <f t="shared" si="4"/>
        <v>2041083</v>
      </c>
      <c r="O43" s="21">
        <f t="shared" si="5"/>
        <v>408442</v>
      </c>
    </row>
    <row r="44" spans="1:15">
      <c r="A44" s="11" t="s">
        <v>447</v>
      </c>
      <c r="B44" s="11" t="s">
        <v>359</v>
      </c>
      <c r="C44" s="21">
        <v>575678</v>
      </c>
      <c r="D44" s="21">
        <v>4869794</v>
      </c>
      <c r="E44" s="12">
        <f t="shared" si="12"/>
        <v>0.11821403533701837</v>
      </c>
      <c r="F44" s="12" t="s">
        <v>360</v>
      </c>
      <c r="G44" s="11" t="s">
        <v>448</v>
      </c>
      <c r="H44" s="21">
        <v>0</v>
      </c>
      <c r="I44" s="12">
        <f t="shared" si="13"/>
        <v>0.11821403533701837</v>
      </c>
      <c r="J44" s="21">
        <v>0</v>
      </c>
      <c r="K44" s="12">
        <f t="shared" si="2"/>
        <v>0.11821403533701837</v>
      </c>
      <c r="L44" s="20"/>
      <c r="M44" s="21"/>
      <c r="N44" s="21"/>
      <c r="O44" s="21"/>
    </row>
    <row r="45" spans="1:15">
      <c r="A45" s="11" t="s">
        <v>449</v>
      </c>
      <c r="B45" s="11" t="s">
        <v>450</v>
      </c>
      <c r="C45" s="21">
        <v>148601</v>
      </c>
      <c r="D45" s="21">
        <v>2061571</v>
      </c>
      <c r="E45" s="12">
        <f t="shared" ref="E45" si="16">C45/D45</f>
        <v>7.2081436923588857E-2</v>
      </c>
      <c r="F45" s="12" t="s">
        <v>376</v>
      </c>
      <c r="G45" s="11" t="s">
        <v>451</v>
      </c>
      <c r="H45" s="21">
        <v>25715</v>
      </c>
      <c r="I45" s="12">
        <f t="shared" ref="I45" si="17">(C45+H45)/D45</f>
        <v>8.4554934076973343E-2</v>
      </c>
      <c r="J45" s="21">
        <v>71577</v>
      </c>
      <c r="K45" s="12">
        <f t="shared" ref="K45" si="18">(C45+H45+J45)/(D45+J45)</f>
        <v>0.11527235803610439</v>
      </c>
      <c r="L45" s="20">
        <v>245</v>
      </c>
      <c r="M45" s="21">
        <f t="shared" si="3"/>
        <v>8706.7265306122445</v>
      </c>
      <c r="N45" s="21">
        <f t="shared" si="4"/>
        <v>2133148</v>
      </c>
      <c r="O45" s="21">
        <f t="shared" si="5"/>
        <v>220178</v>
      </c>
    </row>
    <row r="46" spans="1:15">
      <c r="A46" s="11" t="s">
        <v>452</v>
      </c>
      <c r="B46" s="11" t="s">
        <v>453</v>
      </c>
      <c r="C46" s="21">
        <v>347897</v>
      </c>
      <c r="D46" s="21">
        <v>4227086</v>
      </c>
      <c r="E46" s="12">
        <f t="shared" si="12"/>
        <v>8.230185049464335E-2</v>
      </c>
      <c r="F46" s="12" t="s">
        <v>376</v>
      </c>
      <c r="G46" s="11" t="s">
        <v>454</v>
      </c>
      <c r="H46" s="21">
        <v>168</v>
      </c>
      <c r="I46" s="12">
        <f t="shared" si="13"/>
        <v>8.2341594185687261E-2</v>
      </c>
      <c r="J46" s="21">
        <v>459045</v>
      </c>
      <c r="K46" s="12">
        <f t="shared" si="2"/>
        <v>0.17223376811275656</v>
      </c>
      <c r="L46" s="20">
        <v>510</v>
      </c>
      <c r="M46" s="21">
        <f t="shared" si="3"/>
        <v>9188.4921568627451</v>
      </c>
      <c r="N46" s="21">
        <f t="shared" si="4"/>
        <v>4686131</v>
      </c>
      <c r="O46" s="21">
        <f t="shared" si="5"/>
        <v>806942</v>
      </c>
    </row>
    <row r="47" spans="1:15">
      <c r="A47" s="11" t="s">
        <v>455</v>
      </c>
      <c r="B47" s="11" t="s">
        <v>395</v>
      </c>
      <c r="C47" s="21">
        <v>118543</v>
      </c>
      <c r="D47" s="21">
        <v>1590486</v>
      </c>
      <c r="E47" s="12">
        <f t="shared" si="12"/>
        <v>7.4532564260232401E-2</v>
      </c>
      <c r="F47" s="12" t="s">
        <v>360</v>
      </c>
      <c r="G47" s="11" t="s">
        <v>456</v>
      </c>
      <c r="H47" s="21">
        <v>0</v>
      </c>
      <c r="I47" s="12">
        <f t="shared" si="13"/>
        <v>7.4532564260232401E-2</v>
      </c>
      <c r="J47" s="21">
        <v>0</v>
      </c>
      <c r="K47" s="12">
        <f t="shared" si="2"/>
        <v>7.4532564260232401E-2</v>
      </c>
      <c r="L47" s="20">
        <v>130</v>
      </c>
      <c r="M47" s="21">
        <f t="shared" si="3"/>
        <v>12234.507692307692</v>
      </c>
      <c r="N47" s="21">
        <f t="shared" si="4"/>
        <v>1590486</v>
      </c>
      <c r="O47" s="21">
        <f t="shared" si="5"/>
        <v>118543</v>
      </c>
    </row>
    <row r="48" spans="1:15">
      <c r="A48" s="11" t="s">
        <v>457</v>
      </c>
      <c r="B48" s="11" t="s">
        <v>359</v>
      </c>
      <c r="C48" s="21">
        <v>209558</v>
      </c>
      <c r="D48" s="21">
        <v>5849079</v>
      </c>
      <c r="E48" s="12">
        <f t="shared" si="12"/>
        <v>3.5827520879782956E-2</v>
      </c>
      <c r="F48" s="12"/>
      <c r="G48" s="11" t="s">
        <v>368</v>
      </c>
      <c r="H48" s="21">
        <v>119777</v>
      </c>
      <c r="I48" s="12">
        <f t="shared" si="13"/>
        <v>5.6305445694954707E-2</v>
      </c>
      <c r="J48" s="21">
        <v>491161</v>
      </c>
      <c r="K48" s="12">
        <f t="shared" si="2"/>
        <v>0.12941087403631407</v>
      </c>
      <c r="L48" s="20">
        <v>590</v>
      </c>
      <c r="M48" s="21">
        <f t="shared" si="3"/>
        <v>10746.169491525423</v>
      </c>
      <c r="N48" s="21">
        <f t="shared" si="4"/>
        <v>6340240</v>
      </c>
      <c r="O48" s="21">
        <f t="shared" si="5"/>
        <v>700719</v>
      </c>
    </row>
    <row r="49" spans="1:17">
      <c r="A49" s="11" t="s">
        <v>458</v>
      </c>
      <c r="B49" s="11" t="s">
        <v>375</v>
      </c>
      <c r="C49" s="21">
        <v>140468</v>
      </c>
      <c r="D49" s="21">
        <v>2631885</v>
      </c>
      <c r="E49" s="12">
        <f t="shared" si="12"/>
        <v>5.3371632879096159E-2</v>
      </c>
      <c r="F49" s="12"/>
      <c r="G49" s="11" t="s">
        <v>459</v>
      </c>
      <c r="H49" s="21">
        <v>67107</v>
      </c>
      <c r="I49" s="12">
        <f t="shared" si="13"/>
        <v>7.886932749721208E-2</v>
      </c>
      <c r="J49" s="21">
        <v>259283</v>
      </c>
      <c r="K49" s="12">
        <f t="shared" si="2"/>
        <v>0.16147729914000156</v>
      </c>
      <c r="L49" s="20">
        <v>310</v>
      </c>
      <c r="M49" s="21">
        <f t="shared" si="3"/>
        <v>9326.3483870967739</v>
      </c>
      <c r="N49" s="21">
        <f t="shared" si="4"/>
        <v>2891168</v>
      </c>
      <c r="O49" s="21">
        <f t="shared" si="5"/>
        <v>399751</v>
      </c>
    </row>
    <row r="50" spans="1:17">
      <c r="A50" s="11" t="s">
        <v>460</v>
      </c>
      <c r="B50" s="11" t="s">
        <v>427</v>
      </c>
      <c r="C50" s="21">
        <v>239305</v>
      </c>
      <c r="D50" s="21">
        <v>4629569</v>
      </c>
      <c r="E50" s="12">
        <f t="shared" si="12"/>
        <v>5.1690556939533679E-2</v>
      </c>
      <c r="F50" s="12" t="s">
        <v>360</v>
      </c>
      <c r="G50" s="11" t="s">
        <v>461</v>
      </c>
      <c r="H50" s="21">
        <v>13875</v>
      </c>
      <c r="I50" s="12">
        <f t="shared" si="13"/>
        <v>5.4687596188759686E-2</v>
      </c>
      <c r="J50" s="21">
        <v>0</v>
      </c>
      <c r="K50" s="12">
        <f t="shared" si="2"/>
        <v>5.4687596188759686E-2</v>
      </c>
      <c r="L50" s="20">
        <v>392</v>
      </c>
      <c r="M50" s="21">
        <f t="shared" si="3"/>
        <v>11810.125</v>
      </c>
      <c r="N50" s="21">
        <f t="shared" si="4"/>
        <v>4629569</v>
      </c>
      <c r="O50" s="21">
        <f t="shared" si="5"/>
        <v>239305</v>
      </c>
    </row>
    <row r="51" spans="1:17">
      <c r="A51" s="11" t="s">
        <v>462</v>
      </c>
      <c r="B51" s="11" t="s">
        <v>268</v>
      </c>
      <c r="C51" s="21">
        <v>70036</v>
      </c>
      <c r="D51" s="21">
        <v>797989</v>
      </c>
      <c r="E51" s="12">
        <f t="shared" si="12"/>
        <v>8.7765620829359806E-2</v>
      </c>
      <c r="F51" s="12" t="s">
        <v>360</v>
      </c>
      <c r="G51" s="11" t="s">
        <v>361</v>
      </c>
      <c r="H51" s="21">
        <v>0</v>
      </c>
      <c r="I51" s="12">
        <f t="shared" si="13"/>
        <v>8.7765620829359806E-2</v>
      </c>
      <c r="J51" s="21">
        <v>0</v>
      </c>
      <c r="K51" s="12">
        <f t="shared" si="2"/>
        <v>8.7765620829359806E-2</v>
      </c>
      <c r="L51" s="20">
        <v>87</v>
      </c>
      <c r="M51" s="21">
        <f t="shared" si="3"/>
        <v>9172.28735632184</v>
      </c>
      <c r="N51" s="21">
        <f t="shared" si="4"/>
        <v>797989</v>
      </c>
      <c r="O51" s="21">
        <f t="shared" si="5"/>
        <v>70036</v>
      </c>
    </row>
    <row r="52" spans="1:17">
      <c r="A52" s="11" t="s">
        <v>463</v>
      </c>
      <c r="B52" s="11" t="s">
        <v>371</v>
      </c>
      <c r="C52" s="21">
        <v>860447</v>
      </c>
      <c r="D52" s="21">
        <v>12365841</v>
      </c>
      <c r="E52" s="12">
        <f t="shared" ref="E52" si="19">C52/D52</f>
        <v>6.9582570243301695E-2</v>
      </c>
      <c r="F52" s="12"/>
      <c r="G52" s="11" t="s">
        <v>464</v>
      </c>
      <c r="H52" s="21">
        <v>152237</v>
      </c>
      <c r="I52" s="12">
        <f>(C52+H52)/D52</f>
        <v>8.1893661741243476E-2</v>
      </c>
      <c r="J52" s="21">
        <v>330000</v>
      </c>
      <c r="K52" s="12">
        <f t="shared" ref="K52" si="20">(C52+H52+J52)/(D52+J52)</f>
        <v>0.10575778319845058</v>
      </c>
      <c r="L52" s="20">
        <v>1070</v>
      </c>
      <c r="M52" s="21">
        <f t="shared" si="3"/>
        <v>11865.271962616822</v>
      </c>
      <c r="N52" s="21">
        <f t="shared" si="4"/>
        <v>12695841</v>
      </c>
      <c r="O52" s="21">
        <f t="shared" si="5"/>
        <v>1190447</v>
      </c>
    </row>
    <row r="53" spans="1:17">
      <c r="A53" s="11" t="s">
        <v>465</v>
      </c>
      <c r="B53" s="11" t="s">
        <v>359</v>
      </c>
      <c r="C53" s="21">
        <v>2606132</v>
      </c>
      <c r="D53" s="21">
        <v>15316743</v>
      </c>
      <c r="E53" s="12">
        <f t="shared" si="12"/>
        <v>0.17014922820079961</v>
      </c>
      <c r="F53" s="12" t="s">
        <v>466</v>
      </c>
      <c r="G53" s="11" t="s">
        <v>467</v>
      </c>
      <c r="H53" s="21">
        <v>236494</v>
      </c>
      <c r="I53" s="12">
        <f>(C53+H53)/D53</f>
        <v>0.18558945593067663</v>
      </c>
      <c r="J53" s="21">
        <f>163190+363457</f>
        <v>526647</v>
      </c>
      <c r="K53" s="12">
        <f t="shared" si="2"/>
        <v>0.21266111608689806</v>
      </c>
      <c r="L53" s="20">
        <f>216+259+235+281+410</f>
        <v>1401</v>
      </c>
      <c r="M53" s="21">
        <f t="shared" si="3"/>
        <v>11308.629550321199</v>
      </c>
      <c r="N53" s="21">
        <f t="shared" si="4"/>
        <v>15843390</v>
      </c>
      <c r="O53" s="21">
        <f t="shared" si="5"/>
        <v>3132779</v>
      </c>
    </row>
    <row r="54" spans="1:17">
      <c r="A54" s="11" t="s">
        <v>468</v>
      </c>
      <c r="B54" s="11" t="s">
        <v>359</v>
      </c>
      <c r="C54" s="21">
        <v>822845</v>
      </c>
      <c r="D54" s="21">
        <v>4989733</v>
      </c>
      <c r="E54" s="12">
        <f t="shared" si="12"/>
        <v>0.16490762130959713</v>
      </c>
      <c r="F54" s="12"/>
      <c r="G54" s="11" t="s">
        <v>469</v>
      </c>
      <c r="H54" s="21">
        <v>0</v>
      </c>
      <c r="I54" s="12">
        <f>(C54+H54)/D54</f>
        <v>0.16490762130959713</v>
      </c>
      <c r="J54" s="21">
        <v>300000</v>
      </c>
      <c r="K54" s="12">
        <f t="shared" si="2"/>
        <v>0.2122687477798974</v>
      </c>
      <c r="L54" s="20">
        <v>350</v>
      </c>
      <c r="M54" s="21">
        <f t="shared" si="3"/>
        <v>15113.522857142858</v>
      </c>
      <c r="N54" s="21">
        <f t="shared" si="4"/>
        <v>5289733</v>
      </c>
      <c r="O54" s="21">
        <f t="shared" si="5"/>
        <v>1122845</v>
      </c>
    </row>
    <row r="55" spans="1:17">
      <c r="A55" s="11" t="s">
        <v>470</v>
      </c>
      <c r="B55" s="11"/>
      <c r="C55" s="11"/>
      <c r="D55" s="11"/>
      <c r="E55" s="12">
        <f>AVERAGE(E2:E54)</f>
        <v>9.1620873107667922E-2</v>
      </c>
      <c r="F55" s="12"/>
      <c r="G55" s="11"/>
      <c r="H55" s="21"/>
      <c r="I55" s="12"/>
      <c r="J55" s="21"/>
      <c r="K55" s="12">
        <f>AVERAGE(K2:K54)</f>
        <v>0.13502188634418016</v>
      </c>
      <c r="L55" s="20">
        <f>SUM(L2:L54)</f>
        <v>17499</v>
      </c>
      <c r="M55" s="11"/>
      <c r="N55" s="20">
        <f>SUM(N2:N54)</f>
        <v>197695591</v>
      </c>
      <c r="O55" s="20">
        <f>SUM(O2:O54)</f>
        <v>24610677</v>
      </c>
    </row>
    <row r="56" spans="1:17">
      <c r="A56" s="34" t="s">
        <v>471</v>
      </c>
      <c r="B56" s="34"/>
      <c r="C56" s="34"/>
      <c r="D56" s="34"/>
      <c r="E56" s="35">
        <f>AVERAGEIF(F2:F54,"Yes",E2:E54)</f>
        <v>0.12742146808065624</v>
      </c>
      <c r="F56" s="34"/>
      <c r="G56" s="34"/>
      <c r="H56" s="36"/>
      <c r="I56" s="35"/>
      <c r="J56" s="36"/>
      <c r="K56" s="35">
        <f>AVERAGEIF(F2:F54,"Yes",K2:K54)</f>
        <v>0.14990736217484266</v>
      </c>
      <c r="L56" s="38">
        <f>SUMIF(F2:F54,"Yes",L2:L54)</f>
        <v>5814</v>
      </c>
      <c r="M56" s="36">
        <f>N56/L56</f>
        <v>11734.044031647747</v>
      </c>
      <c r="N56" s="36">
        <f>SUMIF(F2:F54,"Yes",N2:N54)</f>
        <v>68221732</v>
      </c>
      <c r="O56" s="36">
        <f>SUMIF(F2:F54,"Yes",O2:O54)</f>
        <v>10312481</v>
      </c>
      <c r="P56" s="17">
        <f>O56/L56</f>
        <v>1773.7325421396629</v>
      </c>
      <c r="Q56" s="5">
        <f>P56/M56</f>
        <v>0.15116123114552413</v>
      </c>
    </row>
    <row r="57" spans="1:17" s="11" customFormat="1">
      <c r="A57" s="11" t="s">
        <v>472</v>
      </c>
      <c r="E57" s="12">
        <f>Q56</f>
        <v>0.15116123114552413</v>
      </c>
      <c r="H57" s="21"/>
      <c r="I57" s="12"/>
      <c r="J57" s="21"/>
      <c r="K57" s="12">
        <f>E57</f>
        <v>0.15116123114552413</v>
      </c>
      <c r="L57" s="20">
        <f>SUMIF(F2:F54,"",L2:L54)</f>
        <v>7051</v>
      </c>
      <c r="M57" s="36">
        <f>N57/L57</f>
        <v>11178.793788115161</v>
      </c>
      <c r="N57" s="21">
        <f>SUMIF(F2:F54,"",N2:N54)</f>
        <v>78821675</v>
      </c>
      <c r="O57" s="21">
        <f>SUMIF(F2:F54,"",C2:C54)</f>
        <v>4504322</v>
      </c>
      <c r="P57" s="17">
        <f>O57/L57</f>
        <v>638.82030917600343</v>
      </c>
      <c r="Q57" s="5">
        <f>P57/M56</f>
        <v>5.4441615137377102E-2</v>
      </c>
    </row>
    <row r="58" spans="1:17" s="11" customFormat="1">
      <c r="A58" s="11" t="s">
        <v>197</v>
      </c>
      <c r="E58" s="12">
        <f>E56-E57</f>
        <v>-2.3739763064867886E-2</v>
      </c>
      <c r="H58" s="21"/>
      <c r="I58" s="12"/>
      <c r="J58" s="21"/>
      <c r="K58" s="12">
        <f>K56-K57</f>
        <v>-1.253868970681471E-3</v>
      </c>
      <c r="L58" s="20"/>
      <c r="N58" s="21"/>
      <c r="O58" s="21"/>
      <c r="P58" s="39">
        <f>P56-P57</f>
        <v>1134.9122329636593</v>
      </c>
      <c r="Q58" s="12">
        <f>Q56-Q57</f>
        <v>9.6719616008147019E-2</v>
      </c>
    </row>
    <row r="61" spans="1:17">
      <c r="A61" t="s">
        <v>473</v>
      </c>
      <c r="E61" s="5">
        <f>AVERAGE(E2,E3,E6,E12,E14,E21,E26,E29,E32,E36,E43,E44)</f>
        <v>0.14810940227855701</v>
      </c>
      <c r="K61" s="5">
        <f>AVERAGE(K2,K3,K6,K12,K14,K21,K26,K29,K32,K36,K43,K44)</f>
        <v>0.16292979132998717</v>
      </c>
      <c r="L61" s="1">
        <f>SUM(L2,L3,L6,L12,L14,L21,L26,L29,L32,L36,L43,L44)</f>
        <v>3475</v>
      </c>
    </row>
    <row r="62" spans="1:17">
      <c r="A62" t="s">
        <v>474</v>
      </c>
      <c r="E62" s="5">
        <f>AVERAGE(E7,E16,E17,E18,E24,E27,E33,E39,E40,E47,E50,E51)</f>
        <v>0.10808361694913748</v>
      </c>
      <c r="K62" s="5">
        <f>AVERAGE(K7,K16,K17,K18,K24,K27,K33,K39,K40,K47,K50,K51)</f>
        <v>0.13658951535495634</v>
      </c>
      <c r="L62" s="1">
        <f>SUM(L7,L16,L17,L18,L24,L27,L33,L39,L40,L47,L50,L51)</f>
        <v>3142</v>
      </c>
    </row>
    <row r="67" spans="1:15">
      <c r="A67" s="11" t="s">
        <v>475</v>
      </c>
      <c r="B67" s="11" t="s">
        <v>371</v>
      </c>
      <c r="C67" s="21">
        <v>147347</v>
      </c>
      <c r="D67" s="21">
        <f>4243864+729242</f>
        <v>4973106</v>
      </c>
      <c r="E67" s="12">
        <f t="shared" ref="E67" si="21">C67/D67</f>
        <v>2.9628767213085747E-2</v>
      </c>
      <c r="F67" s="12"/>
      <c r="G67" s="11" t="s">
        <v>476</v>
      </c>
      <c r="H67" s="21">
        <v>483666</v>
      </c>
      <c r="I67" s="12">
        <f t="shared" ref="I67" si="22">(C67+H67)/D67</f>
        <v>0.12688508951950753</v>
      </c>
      <c r="J67" s="21">
        <v>512011</v>
      </c>
      <c r="K67" s="12">
        <f t="shared" ref="K67" si="23">(C67+H67+J67)/(D67+J67)</f>
        <v>0.20838643915890948</v>
      </c>
      <c r="L67" s="20">
        <v>538</v>
      </c>
      <c r="M67" s="21">
        <f t="shared" ref="M67" si="24">(D67+J67)/L67</f>
        <v>10195.384758364313</v>
      </c>
      <c r="N67" s="21">
        <f t="shared" ref="N67:O67" si="25">D67+J67</f>
        <v>5485117</v>
      </c>
      <c r="O67" s="21">
        <f t="shared" si="25"/>
        <v>0.23801520637199522</v>
      </c>
    </row>
    <row r="68" spans="1:15">
      <c r="A68" s="11" t="s">
        <v>477</v>
      </c>
      <c r="B68" s="11" t="s">
        <v>371</v>
      </c>
      <c r="C68" s="21">
        <v>120876</v>
      </c>
      <c r="D68" s="21">
        <v>3639631</v>
      </c>
      <c r="E68" s="12">
        <f t="shared" ref="E68" si="26">C68/D68</f>
        <v>3.3211059033182208E-2</v>
      </c>
      <c r="F68" s="12"/>
      <c r="G68" s="11" t="s">
        <v>478</v>
      </c>
      <c r="H68" s="21">
        <v>44731</v>
      </c>
      <c r="I68" s="12">
        <f t="shared" ref="I68" si="27">(C68+H68)/D68</f>
        <v>4.550104117697646E-2</v>
      </c>
      <c r="J68" s="21">
        <v>70622</v>
      </c>
      <c r="K68" s="12">
        <f t="shared" ref="K68" si="28">(C68+H68+J68)/(D68+J68)</f>
        <v>6.3669243040838458E-2</v>
      </c>
      <c r="L68" s="20">
        <v>300</v>
      </c>
      <c r="M68" s="21">
        <f t="shared" ref="M68" si="29">(D68+J68)/L68</f>
        <v>12367.51</v>
      </c>
      <c r="N68" s="21">
        <f t="shared" ref="N68:O68" si="30">D68+J68</f>
        <v>3710253</v>
      </c>
      <c r="O68" s="21">
        <f t="shared" si="30"/>
        <v>9.6880302074020666E-2</v>
      </c>
    </row>
    <row r="69" spans="1:15">
      <c r="A69" s="11" t="s">
        <v>479</v>
      </c>
      <c r="B69" s="11" t="s">
        <v>268</v>
      </c>
      <c r="C69" s="21">
        <v>24555</v>
      </c>
      <c r="D69" s="21">
        <v>3312210</v>
      </c>
      <c r="E69" s="12">
        <f t="shared" ref="E69" si="31">C69/D69</f>
        <v>7.4134792178032188E-3</v>
      </c>
      <c r="F69" s="12"/>
      <c r="G69" s="11" t="s">
        <v>478</v>
      </c>
      <c r="H69" s="21">
        <v>274</v>
      </c>
      <c r="I69" s="12">
        <f t="shared" ref="I69" si="32">(C69+H69)/D69</f>
        <v>7.4962034412069285E-3</v>
      </c>
      <c r="J69" s="21">
        <v>0</v>
      </c>
      <c r="K69" s="12">
        <f t="shared" ref="K69" si="33">(C69+H69+J69)/(D69+J69)</f>
        <v>7.4962034412069285E-3</v>
      </c>
      <c r="L69" s="20">
        <v>314</v>
      </c>
      <c r="M69" s="21">
        <f t="shared" ref="M69" si="34">(D69+J69)/L69</f>
        <v>10548.43949044586</v>
      </c>
      <c r="N69" s="21">
        <f t="shared" ref="N69:O69" si="35">D69+J69</f>
        <v>3312210</v>
      </c>
      <c r="O69" s="21">
        <f t="shared" si="35"/>
        <v>1.4909682659010147E-2</v>
      </c>
    </row>
    <row r="70" spans="1:15">
      <c r="A70" s="11" t="s">
        <v>480</v>
      </c>
      <c r="B70" s="11" t="s">
        <v>359</v>
      </c>
      <c r="C70" s="21">
        <v>1157278</v>
      </c>
      <c r="D70" s="21">
        <v>14847304</v>
      </c>
      <c r="E70" s="12">
        <f t="shared" ref="E70" si="36">C70/D70</f>
        <v>7.7945329333864249E-2</v>
      </c>
      <c r="F70" s="12"/>
      <c r="G70" s="11" t="s">
        <v>476</v>
      </c>
      <c r="H70" s="21">
        <v>1183650</v>
      </c>
      <c r="I70" s="12">
        <f t="shared" ref="I70" si="37">(C70+H70)/D70</f>
        <v>0.15766687339331101</v>
      </c>
      <c r="J70" s="21">
        <v>8360</v>
      </c>
      <c r="K70" s="12">
        <f t="shared" ref="K70:K72" si="38">(C70+H70+J70)/(D70+J70)</f>
        <v>0.15814089494754324</v>
      </c>
      <c r="L70" s="20">
        <v>920</v>
      </c>
      <c r="M70" s="21">
        <f t="shared" ref="M70:M72" si="39">(D70+J70)/L70</f>
        <v>16147.460869565217</v>
      </c>
      <c r="N70" s="21">
        <f t="shared" ref="N70:O72" si="40">D70+J70</f>
        <v>14855664</v>
      </c>
      <c r="O70" s="21">
        <f t="shared" si="40"/>
        <v>0.23608622428140749</v>
      </c>
    </row>
    <row r="71" spans="1:15">
      <c r="A71" s="11" t="s">
        <v>481</v>
      </c>
      <c r="B71" s="11" t="s">
        <v>482</v>
      </c>
      <c r="C71" s="21">
        <v>48193</v>
      </c>
      <c r="D71" s="21">
        <v>1928397</v>
      </c>
      <c r="E71" s="12">
        <f t="shared" ref="E71" si="41">C71/D71</f>
        <v>2.4991223280268534E-2</v>
      </c>
      <c r="F71" s="12" t="s">
        <v>364</v>
      </c>
      <c r="G71" s="11" t="s">
        <v>476</v>
      </c>
      <c r="H71" s="21">
        <v>48193</v>
      </c>
      <c r="I71" s="12">
        <f t="shared" ref="I71" si="42">(C71+H71)/D71</f>
        <v>4.9982446560537068E-2</v>
      </c>
      <c r="J71" s="21"/>
      <c r="K71" s="12"/>
      <c r="L71" s="20"/>
      <c r="M71" s="21"/>
      <c r="N71" s="21"/>
      <c r="O71" s="21"/>
    </row>
    <row r="72" spans="1:15">
      <c r="A72" s="11" t="s">
        <v>483</v>
      </c>
      <c r="B72" s="11" t="s">
        <v>359</v>
      </c>
      <c r="C72" s="21">
        <v>283994</v>
      </c>
      <c r="D72" s="21">
        <v>18152444</v>
      </c>
      <c r="E72" s="12">
        <f t="shared" ref="E72" si="43">C72/D72</f>
        <v>1.5644945661311502E-2</v>
      </c>
      <c r="F72" s="12"/>
      <c r="G72" s="11" t="s">
        <v>484</v>
      </c>
      <c r="H72" s="21">
        <v>236052</v>
      </c>
      <c r="I72" s="12">
        <f t="shared" ref="I72" si="44">(C72+H72)/D72</f>
        <v>2.8648814451651801E-2</v>
      </c>
      <c r="J72" s="21">
        <v>118810</v>
      </c>
      <c r="K72" s="12">
        <f t="shared" si="38"/>
        <v>3.4965087782152224E-2</v>
      </c>
      <c r="L72" s="20">
        <f>120+273</f>
        <v>393</v>
      </c>
      <c r="M72" s="21">
        <f t="shared" si="39"/>
        <v>46491.740458015265</v>
      </c>
      <c r="N72" s="21">
        <f t="shared" si="40"/>
        <v>18271254</v>
      </c>
      <c r="O72" s="21">
        <f t="shared" si="40"/>
        <v>5.0610033443463723E-2</v>
      </c>
    </row>
    <row r="73" spans="1:15">
      <c r="A73" s="11" t="s">
        <v>485</v>
      </c>
      <c r="B73" s="11" t="s">
        <v>359</v>
      </c>
      <c r="C73" s="21">
        <v>1033500</v>
      </c>
      <c r="D73" s="21">
        <v>6645343</v>
      </c>
      <c r="E73" s="12">
        <f t="shared" ref="E73" si="45">C73/D73</f>
        <v>0.15552244632067902</v>
      </c>
      <c r="F73" s="12" t="s">
        <v>380</v>
      </c>
      <c r="G73" s="11" t="s">
        <v>486</v>
      </c>
      <c r="H73" s="21">
        <v>0</v>
      </c>
      <c r="I73" s="12">
        <f t="shared" ref="I73" si="46">(C73+H73)/D73</f>
        <v>0.15552244632067902</v>
      </c>
      <c r="J73" s="21">
        <v>250000</v>
      </c>
      <c r="K73" s="12">
        <f t="shared" ref="K73" si="47">(C73+H73+J73)/(D73+J73)</f>
        <v>0.18614012384880635</v>
      </c>
      <c r="L73" s="20">
        <v>560</v>
      </c>
      <c r="M73" s="21">
        <f t="shared" ref="M73" si="48">(D73+J73)/L73</f>
        <v>12313.112499999999</v>
      </c>
      <c r="N73" s="21">
        <f t="shared" ref="N73" si="49">D73+J73</f>
        <v>6895343</v>
      </c>
      <c r="O73" s="21">
        <f t="shared" ref="O73" si="50">E73+K73</f>
        <v>0.34166257016948537</v>
      </c>
    </row>
    <row r="74" spans="1:15">
      <c r="A74" s="11" t="s">
        <v>487</v>
      </c>
      <c r="B74" s="11" t="s">
        <v>268</v>
      </c>
      <c r="C74" s="21">
        <v>71468</v>
      </c>
      <c r="D74" s="21">
        <v>1563924</v>
      </c>
      <c r="E74" s="12">
        <f t="shared" ref="E74" si="51">C74/D74</f>
        <v>4.569787278665715E-2</v>
      </c>
      <c r="F74" s="12" t="s">
        <v>360</v>
      </c>
      <c r="G74" s="11" t="s">
        <v>488</v>
      </c>
      <c r="H74" s="21">
        <v>1128</v>
      </c>
      <c r="I74" s="12">
        <f t="shared" ref="I74" si="52">(C74+H74)/D74</f>
        <v>4.641913545671017E-2</v>
      </c>
      <c r="J74" s="21">
        <v>38777</v>
      </c>
      <c r="K74" s="12">
        <f t="shared" ref="K74" si="53">(C74+H74+J74)/(D74+J74)</f>
        <v>6.9490815816549686E-2</v>
      </c>
      <c r="L74" s="20">
        <v>156</v>
      </c>
      <c r="M74" s="21">
        <f t="shared" ref="M74" si="54">(D74+J74)/L74</f>
        <v>10273.724358974359</v>
      </c>
      <c r="N74" s="21">
        <f t="shared" ref="N74" si="55">D74+J74</f>
        <v>1602701</v>
      </c>
      <c r="O74" s="21">
        <f t="shared" ref="O74" si="56">E74+K74</f>
        <v>0.11518868860320683</v>
      </c>
    </row>
    <row r="75" spans="1:15">
      <c r="A75" s="11" t="s">
        <v>489</v>
      </c>
      <c r="B75" s="11" t="s">
        <v>359</v>
      </c>
      <c r="C75" s="21">
        <v>298864</v>
      </c>
      <c r="D75" s="21">
        <v>7115146</v>
      </c>
      <c r="E75" s="12">
        <f t="shared" ref="E75" si="57">C75/D75</f>
        <v>4.2003916715131352E-2</v>
      </c>
      <c r="F75" s="12"/>
      <c r="G75" s="11" t="s">
        <v>476</v>
      </c>
      <c r="H75" s="21">
        <v>205797</v>
      </c>
      <c r="I75" s="12">
        <f t="shared" ref="I75" si="58">(C75+H75)/D75</f>
        <v>7.0927708300012396E-2</v>
      </c>
      <c r="J75" s="21">
        <v>213671</v>
      </c>
      <c r="K75" s="12">
        <f t="shared" ref="K75" si="59">(C75+H75+J75)/(D75+J75)</f>
        <v>9.8014727342762134E-2</v>
      </c>
      <c r="L75" s="20">
        <v>762</v>
      </c>
      <c r="M75" s="21">
        <f t="shared" ref="M75" si="60">(D75+J75)/L75</f>
        <v>9617.8700787401576</v>
      </c>
      <c r="N75" s="21">
        <f t="shared" ref="N75" si="61">D75+J75</f>
        <v>7328817</v>
      </c>
      <c r="O75" s="21">
        <f t="shared" ref="O75" si="62">E75+K75</f>
        <v>0.14001864405789349</v>
      </c>
    </row>
    <row r="76" spans="1:15">
      <c r="A76" s="11" t="s">
        <v>490</v>
      </c>
      <c r="B76" s="11" t="s">
        <v>359</v>
      </c>
      <c r="C76" s="21">
        <v>1449477</v>
      </c>
      <c r="D76" s="21">
        <v>9227151</v>
      </c>
      <c r="E76" s="12">
        <f t="shared" ref="E76" si="63">C76/D76</f>
        <v>0.1570882496666631</v>
      </c>
      <c r="F76" s="12" t="s">
        <v>380</v>
      </c>
      <c r="G76" s="11" t="s">
        <v>491</v>
      </c>
      <c r="H76" s="21">
        <v>7584</v>
      </c>
      <c r="I76" s="12">
        <f t="shared" ref="I76" si="64">(C76+H76)/D76</f>
        <v>0.15791017183960682</v>
      </c>
      <c r="J76" s="21">
        <v>114180</v>
      </c>
      <c r="K76" s="12">
        <f t="shared" ref="K76" si="65">(C76+H76+J76)/(D76+J76)</f>
        <v>0.16820311794967976</v>
      </c>
      <c r="L76" s="20">
        <f>425+380</f>
        <v>805</v>
      </c>
      <c r="M76" s="21">
        <f t="shared" ref="M76" si="66">(D76+J76)/L76</f>
        <v>11604.137888198758</v>
      </c>
      <c r="N76" s="21">
        <f t="shared" ref="N76" si="67">D76+J76</f>
        <v>9341331</v>
      </c>
      <c r="O76" s="21">
        <f t="shared" ref="O76" si="68">E76+K76</f>
        <v>0.32529136761634286</v>
      </c>
    </row>
    <row r="78" spans="1:15">
      <c r="H78" s="2">
        <f>10000000/500</f>
        <v>20000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84D0-5176-4A31-86C8-E4AF52C0D9B2}">
  <dimension ref="A1:AC51"/>
  <sheetViews>
    <sheetView topLeftCell="Y27" workbookViewId="0">
      <selection activeCell="AK47" sqref="AK47"/>
    </sheetView>
  </sheetViews>
  <sheetFormatPr defaultRowHeight="14.45"/>
  <cols>
    <col min="1" max="1" width="9.5703125" style="3" hidden="1" customWidth="1"/>
    <col min="2" max="2" width="7.85546875" style="3" hidden="1" customWidth="1"/>
    <col min="3" max="3" width="6.85546875" style="3" hidden="1" customWidth="1"/>
    <col min="4" max="4" width="6.7109375" style="3" hidden="1" customWidth="1"/>
    <col min="5" max="5" width="6.28515625" style="3" hidden="1" customWidth="1"/>
    <col min="6" max="6" width="7.140625" style="3" hidden="1" customWidth="1"/>
    <col min="7" max="7" width="10.28515625" style="3" hidden="1" customWidth="1"/>
    <col min="8" max="8" width="9.140625" hidden="1" customWidth="1"/>
    <col min="9" max="9" width="9.42578125" hidden="1" customWidth="1"/>
    <col min="10" max="10" width="8" hidden="1" customWidth="1"/>
    <col min="11" max="11" width="7.85546875" hidden="1" customWidth="1"/>
    <col min="12" max="12" width="8.140625" hidden="1" customWidth="1"/>
    <col min="13" max="13" width="12.5703125" hidden="1" customWidth="1"/>
    <col min="14" max="14" width="7.7109375" hidden="1" customWidth="1"/>
    <col min="15" max="15" width="8" hidden="1" customWidth="1"/>
    <col min="16" max="16" width="9.5703125" hidden="1" customWidth="1"/>
    <col min="17" max="17" width="13.28515625" hidden="1" customWidth="1"/>
    <col min="18" max="18" width="6.7109375" hidden="1" customWidth="1"/>
    <col min="19" max="19" width="8.85546875" hidden="1" customWidth="1"/>
    <col min="20" max="20" width="11.140625" hidden="1" customWidth="1"/>
    <col min="21" max="21" width="14.7109375" hidden="1" customWidth="1"/>
    <col min="22" max="22" width="8.28515625" hidden="1" customWidth="1"/>
    <col min="23" max="23" width="14.5703125" hidden="1" customWidth="1"/>
    <col min="24" max="24" width="0" hidden="1" customWidth="1"/>
    <col min="29" max="29" width="8.7109375" style="5"/>
  </cols>
  <sheetData>
    <row r="1" spans="1:29" hidden="1">
      <c r="Y1" s="3" t="s">
        <v>492</v>
      </c>
    </row>
    <row r="2" spans="1:29" s="3" customFormat="1" ht="29.1" hidden="1" customHeight="1">
      <c r="A2" s="3" t="s">
        <v>493</v>
      </c>
      <c r="B2" s="6" t="s">
        <v>494</v>
      </c>
      <c r="C2" s="6" t="s">
        <v>495</v>
      </c>
      <c r="D2" s="6" t="s">
        <v>496</v>
      </c>
      <c r="E2" s="3" t="s">
        <v>497</v>
      </c>
      <c r="F2" s="6" t="s">
        <v>498</v>
      </c>
      <c r="G2" s="6" t="s">
        <v>239</v>
      </c>
      <c r="H2" s="6" t="s">
        <v>499</v>
      </c>
      <c r="I2" s="6" t="s">
        <v>500</v>
      </c>
      <c r="J2" s="6" t="s">
        <v>501</v>
      </c>
      <c r="K2" s="6" t="s">
        <v>502</v>
      </c>
      <c r="L2" s="6" t="s">
        <v>503</v>
      </c>
      <c r="M2" s="6" t="s">
        <v>504</v>
      </c>
      <c r="N2" s="6" t="s">
        <v>505</v>
      </c>
      <c r="O2" s="7" t="s">
        <v>506</v>
      </c>
      <c r="P2" s="7" t="s">
        <v>507</v>
      </c>
      <c r="Q2" s="6" t="s">
        <v>508</v>
      </c>
      <c r="R2" s="7" t="s">
        <v>509</v>
      </c>
      <c r="S2" s="6" t="s">
        <v>510</v>
      </c>
      <c r="T2" s="6" t="s">
        <v>511</v>
      </c>
      <c r="U2" s="6" t="s">
        <v>512</v>
      </c>
      <c r="V2" s="6" t="s">
        <v>513</v>
      </c>
      <c r="W2" s="6" t="s">
        <v>514</v>
      </c>
      <c r="Y2" s="9"/>
      <c r="Z2" s="10" t="s">
        <v>515</v>
      </c>
      <c r="AA2" s="10" t="s">
        <v>516</v>
      </c>
      <c r="AC2" s="55"/>
    </row>
    <row r="3" spans="1:29" hidden="1">
      <c r="A3" s="3" t="s">
        <v>492</v>
      </c>
      <c r="B3" s="1">
        <v>1275</v>
      </c>
      <c r="C3" s="1">
        <f>H3/B3</f>
        <v>494.35294117647061</v>
      </c>
      <c r="D3" s="5">
        <f>D27</f>
        <v>0.05</v>
      </c>
      <c r="E3" s="16">
        <f>ROUND(C3*(1+D3)^5-C3,0)</f>
        <v>137</v>
      </c>
      <c r="F3" s="5">
        <f>F27</f>
        <v>0.05</v>
      </c>
      <c r="G3" s="16">
        <f>ROUND((B3*(1+F3)^5-B3),0)</f>
        <v>352</v>
      </c>
      <c r="H3" s="1">
        <v>630300</v>
      </c>
      <c r="I3" s="1">
        <f>B3+G3</f>
        <v>1627</v>
      </c>
      <c r="J3" s="2">
        <v>11495.330166441199</v>
      </c>
      <c r="K3" s="4">
        <v>0.12</v>
      </c>
      <c r="L3" s="2">
        <f>J3*K3</f>
        <v>1379.4396199729438</v>
      </c>
      <c r="M3" s="2">
        <f>H3*L3</f>
        <v>869460792.46894646</v>
      </c>
      <c r="N3" s="2"/>
      <c r="O3" s="19">
        <f>I3</f>
        <v>1627</v>
      </c>
      <c r="P3" s="8">
        <f>(C3+E3)*O3</f>
        <v>1027211.2352941177</v>
      </c>
      <c r="Q3" s="2">
        <f>(B3+G3)*(C3+E3)*J3*K3</f>
        <v>1416975876.046056</v>
      </c>
      <c r="R3" s="2"/>
      <c r="S3" s="1">
        <f>B3</f>
        <v>1275</v>
      </c>
      <c r="T3" s="2">
        <v>7000000</v>
      </c>
      <c r="U3" s="2">
        <f>S3*T3</f>
        <v>8925000000</v>
      </c>
      <c r="V3" s="1">
        <f>O3</f>
        <v>1627</v>
      </c>
      <c r="W3" s="2">
        <f>V3*(T3+2000000)</f>
        <v>14643000000</v>
      </c>
      <c r="Y3" s="11" t="s">
        <v>85</v>
      </c>
      <c r="Z3" s="12" t="e">
        <f>'Data Details'!#REF!</f>
        <v>#REF!</v>
      </c>
      <c r="AA3" s="12" t="e">
        <f>'Data Details'!#REF!</f>
        <v>#REF!</v>
      </c>
    </row>
    <row r="4" spans="1:29" hidden="1">
      <c r="A4" t="s">
        <v>517</v>
      </c>
      <c r="B4" s="1">
        <v>250</v>
      </c>
      <c r="C4" s="5">
        <f>B4/B3</f>
        <v>0.19607843137254902</v>
      </c>
      <c r="D4" s="5"/>
      <c r="E4" s="1"/>
      <c r="F4" s="1"/>
      <c r="G4"/>
      <c r="H4" s="1">
        <f>B4*C3</f>
        <v>123588.23529411765</v>
      </c>
      <c r="I4" s="1"/>
      <c r="J4" s="2"/>
      <c r="K4" s="4"/>
      <c r="L4" s="2">
        <v>1147</v>
      </c>
      <c r="M4" s="2">
        <f>B4/B3*H3*L4</f>
        <v>141755705.88235295</v>
      </c>
      <c r="N4" s="5">
        <f>M4/M3</f>
        <v>0.16303864085673062</v>
      </c>
      <c r="O4" s="2"/>
      <c r="P4" s="2"/>
      <c r="Q4" s="2">
        <f>M4*1.5</f>
        <v>212633558.82352942</v>
      </c>
      <c r="R4" s="5">
        <f>Q4/Q3</f>
        <v>0.1500615235714981</v>
      </c>
      <c r="S4" s="2"/>
      <c r="T4" s="2"/>
      <c r="U4" s="2"/>
      <c r="V4" s="2"/>
      <c r="W4" s="2"/>
      <c r="Y4" s="11" t="s">
        <v>112</v>
      </c>
      <c r="Z4" s="12" t="e">
        <f>'Data Details'!#REF!</f>
        <v>#REF!</v>
      </c>
      <c r="AA4" s="12" t="e">
        <f>'Data Details'!#REF!</f>
        <v>#REF!</v>
      </c>
    </row>
    <row r="5" spans="1:29" hidden="1">
      <c r="A5" s="3" t="s">
        <v>518</v>
      </c>
      <c r="B5" s="1">
        <f>B3*N5</f>
        <v>200</v>
      </c>
      <c r="C5" s="1"/>
      <c r="D5" s="1"/>
      <c r="E5" s="1"/>
      <c r="F5" s="1"/>
      <c r="G5"/>
      <c r="H5" s="1">
        <f>B5*C3</f>
        <v>98870.588235294126</v>
      </c>
      <c r="I5" s="1"/>
      <c r="J5" s="2"/>
      <c r="K5" s="4"/>
      <c r="L5" s="2"/>
      <c r="M5" s="2"/>
      <c r="N5" s="5">
        <f>U5/U3</f>
        <v>0.15686274509803921</v>
      </c>
      <c r="O5" s="2"/>
      <c r="P5" s="2"/>
      <c r="Q5" s="2"/>
      <c r="R5" s="5">
        <f>W5/W3</f>
        <v>9.5608823328552889E-2</v>
      </c>
      <c r="S5" s="5"/>
      <c r="T5" s="2"/>
      <c r="U5" s="2">
        <v>1400000000</v>
      </c>
      <c r="V5" s="2"/>
      <c r="W5" s="2">
        <f>U5</f>
        <v>1400000000</v>
      </c>
      <c r="Y5" s="11" t="s">
        <v>127</v>
      </c>
      <c r="Z5" s="12" t="e">
        <f>'Data Details'!#REF!</f>
        <v>#REF!</v>
      </c>
      <c r="AA5" s="12" t="e">
        <f>'Data Details'!#REF!</f>
        <v>#REF!</v>
      </c>
    </row>
    <row r="6" spans="1:29" hidden="1">
      <c r="A6" t="s">
        <v>519</v>
      </c>
      <c r="B6" s="1">
        <f>N6*B3</f>
        <v>555.9</v>
      </c>
      <c r="C6" s="1"/>
      <c r="D6" s="1"/>
      <c r="E6" s="1"/>
      <c r="F6" s="1"/>
      <c r="G6"/>
      <c r="H6" s="1">
        <f>B6*C3</f>
        <v>274810.8</v>
      </c>
      <c r="I6" s="1"/>
      <c r="J6" s="2"/>
      <c r="K6" s="4"/>
      <c r="L6" s="2"/>
      <c r="M6" s="2"/>
      <c r="N6" s="5">
        <v>0.436</v>
      </c>
      <c r="O6" s="16">
        <f>ROUND(B6*0.75+E3*0.25,0)</f>
        <v>451</v>
      </c>
      <c r="P6" s="2"/>
      <c r="Q6" s="2"/>
      <c r="R6" s="5">
        <f>O6/O3</f>
        <v>0.27719729563614015</v>
      </c>
      <c r="S6" s="2"/>
      <c r="T6" s="2"/>
      <c r="U6" s="2"/>
      <c r="V6" s="2"/>
      <c r="W6" s="2"/>
      <c r="Y6" s="11" t="s">
        <v>187</v>
      </c>
      <c r="Z6" s="12" t="e">
        <f>SUM(Z3:Z5)</f>
        <v>#REF!</v>
      </c>
      <c r="AA6" s="12" t="e">
        <f>SUM(AA3:AA5)</f>
        <v>#REF!</v>
      </c>
    </row>
    <row r="7" spans="1:29" hidden="1">
      <c r="A7" t="s">
        <v>520</v>
      </c>
      <c r="B7" s="1"/>
      <c r="C7" s="1"/>
      <c r="D7" s="1"/>
      <c r="E7" s="1"/>
      <c r="F7" s="1"/>
      <c r="G7"/>
      <c r="H7" s="1"/>
      <c r="I7" s="1"/>
      <c r="J7" s="2"/>
      <c r="K7" s="4"/>
      <c r="L7" s="2"/>
      <c r="M7" s="2"/>
      <c r="N7" s="5">
        <v>0</v>
      </c>
      <c r="O7" s="2"/>
      <c r="P7" s="2"/>
      <c r="Q7" s="2"/>
      <c r="R7" s="5">
        <v>0</v>
      </c>
      <c r="S7" s="2"/>
      <c r="T7" s="2"/>
      <c r="U7" s="2"/>
      <c r="V7" s="2"/>
      <c r="W7" s="2"/>
    </row>
    <row r="8" spans="1:29" hidden="1">
      <c r="A8" s="3" t="s">
        <v>187</v>
      </c>
      <c r="B8" s="1"/>
      <c r="C8" s="1"/>
      <c r="D8" s="1"/>
      <c r="E8" s="1"/>
      <c r="F8" s="1"/>
      <c r="G8"/>
      <c r="H8" s="1"/>
      <c r="I8" s="1"/>
      <c r="J8" s="2"/>
      <c r="K8" s="4"/>
      <c r="L8" s="2"/>
      <c r="M8" s="2"/>
      <c r="N8" s="5">
        <f>SUM(N4:N7)</f>
        <v>0.75590138595476986</v>
      </c>
      <c r="O8" s="2"/>
      <c r="P8" s="2"/>
      <c r="Q8" s="2"/>
      <c r="R8" s="5">
        <f>SUM(R4:R7)</f>
        <v>0.52286764253619111</v>
      </c>
      <c r="S8" s="2"/>
      <c r="T8" s="2"/>
      <c r="U8" s="2"/>
      <c r="V8" s="2"/>
      <c r="W8" s="2"/>
      <c r="Y8" s="3" t="s">
        <v>521</v>
      </c>
    </row>
    <row r="9" spans="1:29" ht="29.1" hidden="1">
      <c r="A9"/>
      <c r="B9" s="1"/>
      <c r="C9" s="1"/>
      <c r="D9" s="1"/>
      <c r="E9" s="1"/>
      <c r="F9" s="1"/>
      <c r="G9"/>
      <c r="H9" s="1"/>
      <c r="I9" s="1"/>
      <c r="J9" s="2"/>
      <c r="K9" s="4"/>
      <c r="L9" s="2"/>
      <c r="M9" s="2"/>
      <c r="N9" s="5"/>
      <c r="O9" s="2"/>
      <c r="P9" s="2"/>
      <c r="Q9" s="2"/>
      <c r="R9" s="5"/>
      <c r="S9" s="2"/>
      <c r="T9" s="2"/>
      <c r="U9" s="2"/>
      <c r="V9" s="2"/>
      <c r="W9" s="2"/>
      <c r="Y9" s="9"/>
      <c r="Z9" s="10" t="s">
        <v>515</v>
      </c>
      <c r="AA9" s="10" t="s">
        <v>516</v>
      </c>
    </row>
    <row r="10" spans="1:29" hidden="1">
      <c r="A10" s="3" t="s">
        <v>521</v>
      </c>
      <c r="B10" s="1">
        <v>250</v>
      </c>
      <c r="C10" s="1">
        <f>H10/B10</f>
        <v>482.8</v>
      </c>
      <c r="D10" s="5">
        <f>D27</f>
        <v>0.05</v>
      </c>
      <c r="E10" s="16">
        <f>ROUND(C10*(1+D10)^5-C10,0)</f>
        <v>133</v>
      </c>
      <c r="F10" s="5">
        <f>F27</f>
        <v>0.05</v>
      </c>
      <c r="G10" s="16">
        <f>ROUND(B10*(1+F10)^5-B10,0)</f>
        <v>69</v>
      </c>
      <c r="H10" s="1">
        <v>120700</v>
      </c>
      <c r="I10" s="16">
        <f>B10+G10</f>
        <v>319</v>
      </c>
      <c r="J10" s="2">
        <v>9575</v>
      </c>
      <c r="K10" s="4">
        <v>0.12</v>
      </c>
      <c r="L10" s="2">
        <f>J10*K10</f>
        <v>1149</v>
      </c>
      <c r="M10" s="2">
        <f>H10*L10</f>
        <v>138684300</v>
      </c>
      <c r="N10" s="2"/>
      <c r="O10" s="8">
        <f>I10</f>
        <v>319</v>
      </c>
      <c r="P10" s="8">
        <f>(C10+E10)*O10</f>
        <v>196440.19999999998</v>
      </c>
      <c r="Q10" s="2">
        <f>(B10+G10)*(C10+E10)*J10*K10</f>
        <v>225709789.79999995</v>
      </c>
      <c r="R10" s="2"/>
      <c r="S10" s="1">
        <f>B10</f>
        <v>250</v>
      </c>
      <c r="T10" s="2">
        <f>T3</f>
        <v>7000000</v>
      </c>
      <c r="U10" s="2">
        <f>S10*T10</f>
        <v>1750000000</v>
      </c>
      <c r="V10" s="1">
        <f>O10</f>
        <v>319</v>
      </c>
      <c r="W10" s="2">
        <f>V10*T10</f>
        <v>2233000000</v>
      </c>
      <c r="Y10" s="11" t="s">
        <v>85</v>
      </c>
      <c r="Z10" s="12" t="e">
        <f>'Data Details'!#REF!</f>
        <v>#REF!</v>
      </c>
      <c r="AA10" s="12" t="e">
        <f>'Data Details'!#REF!</f>
        <v>#REF!</v>
      </c>
    </row>
    <row r="11" spans="1:29" hidden="1">
      <c r="A11" t="s">
        <v>517</v>
      </c>
      <c r="B11" s="1">
        <v>237</v>
      </c>
      <c r="C11" s="5">
        <f>B11/B10</f>
        <v>0.94799999999999995</v>
      </c>
      <c r="D11" s="5"/>
      <c r="E11" s="1"/>
      <c r="F11" s="1"/>
      <c r="G11"/>
      <c r="H11" s="1"/>
      <c r="I11" s="1"/>
      <c r="J11" s="2"/>
      <c r="K11" s="4"/>
      <c r="L11" s="2">
        <v>253.66</v>
      </c>
      <c r="M11" s="2">
        <f>L11*C11*H10</f>
        <v>29024690.375999998</v>
      </c>
      <c r="N11" s="5">
        <f>M11/M10</f>
        <v>0.20928605744125325</v>
      </c>
      <c r="O11" s="2"/>
      <c r="P11" s="2"/>
      <c r="Q11" s="2">
        <f>M11</f>
        <v>29024690.375999998</v>
      </c>
      <c r="R11" s="5">
        <f>Q11/Q10</f>
        <v>0.12859296179274543</v>
      </c>
      <c r="S11" s="2"/>
      <c r="T11" s="2"/>
      <c r="U11" s="2"/>
      <c r="V11" s="2"/>
      <c r="W11" s="2"/>
      <c r="Y11" s="11" t="s">
        <v>112</v>
      </c>
      <c r="Z11" s="12" t="e">
        <f>'Data Details'!#REF!</f>
        <v>#REF!</v>
      </c>
      <c r="AA11" s="12" t="e">
        <f>'Data Details'!#REF!</f>
        <v>#REF!</v>
      </c>
    </row>
    <row r="12" spans="1:29" hidden="1">
      <c r="A12" s="3" t="s">
        <v>518</v>
      </c>
      <c r="B12" s="1"/>
      <c r="C12" s="1"/>
      <c r="D12" s="1"/>
      <c r="E12" s="1"/>
      <c r="F12" s="1"/>
      <c r="G12"/>
      <c r="H12" s="1"/>
      <c r="I12" s="1"/>
      <c r="J12" s="2"/>
      <c r="K12" s="4"/>
      <c r="L12" s="2"/>
      <c r="M12" s="17"/>
      <c r="N12" s="5">
        <f>U12/U10</f>
        <v>2.3942857142857144E-2</v>
      </c>
      <c r="O12" s="2"/>
      <c r="P12" s="2"/>
      <c r="Q12" s="2"/>
      <c r="R12" s="5">
        <f>W12/W10</f>
        <v>2.8145991939095387E-2</v>
      </c>
      <c r="S12" s="2"/>
      <c r="T12" s="2"/>
      <c r="U12" s="2">
        <f>6700000+15500000+19700000</f>
        <v>41900000</v>
      </c>
      <c r="V12" s="2"/>
      <c r="W12" s="2">
        <f>U12*1.5</f>
        <v>62850000</v>
      </c>
      <c r="Y12" s="11" t="s">
        <v>127</v>
      </c>
      <c r="Z12" s="12" t="e">
        <f>'Data Details'!#REF!</f>
        <v>#REF!</v>
      </c>
      <c r="AA12" s="12" t="e">
        <f>'Data Details'!#REF!</f>
        <v>#REF!</v>
      </c>
    </row>
    <row r="13" spans="1:29" hidden="1">
      <c r="A13" t="s">
        <v>519</v>
      </c>
      <c r="B13" s="1">
        <f>N13*B10</f>
        <v>65</v>
      </c>
      <c r="C13" s="1"/>
      <c r="D13" s="1"/>
      <c r="E13" s="1"/>
      <c r="F13" s="1"/>
      <c r="G13"/>
      <c r="H13" s="1"/>
      <c r="I13" s="1"/>
      <c r="J13" s="2"/>
      <c r="K13" s="4"/>
      <c r="L13" s="2"/>
      <c r="M13" s="2"/>
      <c r="N13" s="5">
        <v>0.26</v>
      </c>
      <c r="O13" s="16">
        <f>ROUND(B13*0.75+G10*0.25,0)</f>
        <v>66</v>
      </c>
      <c r="P13" s="2"/>
      <c r="Q13" s="2"/>
      <c r="R13" s="5">
        <f>O13/O10</f>
        <v>0.20689655172413793</v>
      </c>
      <c r="S13" s="2"/>
      <c r="T13" s="2"/>
      <c r="U13" s="2"/>
      <c r="V13" s="2"/>
      <c r="W13" s="2"/>
      <c r="Y13" s="11" t="s">
        <v>187</v>
      </c>
      <c r="Z13" s="12" t="e">
        <f>SUM(Z10:Z12)</f>
        <v>#REF!</v>
      </c>
      <c r="AA13" s="12" t="e">
        <f>SUM(AA10:AA12)</f>
        <v>#REF!</v>
      </c>
    </row>
    <row r="14" spans="1:29" hidden="1">
      <c r="A14" t="s">
        <v>520</v>
      </c>
      <c r="B14" s="1">
        <v>56</v>
      </c>
      <c r="C14" s="5">
        <f>B14/B10</f>
        <v>0.224</v>
      </c>
      <c r="D14" s="1"/>
      <c r="E14" s="1"/>
      <c r="F14" s="1"/>
      <c r="G14"/>
      <c r="H14" s="1">
        <f>H10*U14/U10</f>
        <v>48280</v>
      </c>
      <c r="I14" s="5">
        <f>H14/H10</f>
        <v>0.4</v>
      </c>
      <c r="J14" s="2"/>
      <c r="K14" s="4"/>
      <c r="L14" s="2">
        <v>200</v>
      </c>
      <c r="M14" s="2">
        <f>H14*L14</f>
        <v>9656000</v>
      </c>
      <c r="N14" s="5">
        <f>M14/M10</f>
        <v>6.962576153176675E-2</v>
      </c>
      <c r="O14" s="2"/>
      <c r="P14" s="2"/>
      <c r="Q14" s="17">
        <f>W14/W10*P10*(L14)</f>
        <v>15394999.999999996</v>
      </c>
      <c r="R14" s="5">
        <f>Q14/Q10</f>
        <v>6.8207054792091257E-2</v>
      </c>
      <c r="S14" s="2"/>
      <c r="T14" s="2"/>
      <c r="U14" s="2">
        <v>700000000</v>
      </c>
      <c r="V14" s="2"/>
      <c r="W14" s="2">
        <f>U14*1.25</f>
        <v>875000000</v>
      </c>
    </row>
    <row r="15" spans="1:29" hidden="1">
      <c r="A15" s="3" t="s">
        <v>187</v>
      </c>
      <c r="B15" s="1"/>
      <c r="C15" s="1"/>
      <c r="D15" s="1"/>
      <c r="E15" s="1"/>
      <c r="F15" s="1"/>
      <c r="G15"/>
      <c r="H15" s="1"/>
      <c r="I15" s="1"/>
      <c r="J15" s="2"/>
      <c r="K15" s="4"/>
      <c r="L15" s="2"/>
      <c r="M15" s="2"/>
      <c r="N15" s="5">
        <f>SUM(N11:N14)</f>
        <v>0.56285467611587725</v>
      </c>
      <c r="O15" s="2"/>
      <c r="P15" s="2"/>
      <c r="Q15" s="2"/>
      <c r="R15" s="5">
        <f>SUM(R11:R14)</f>
        <v>0.43184256024807005</v>
      </c>
      <c r="S15" s="2"/>
      <c r="T15" s="2"/>
      <c r="U15" s="2"/>
      <c r="V15" s="2"/>
      <c r="W15" s="2"/>
      <c r="Y15" s="3" t="s">
        <v>522</v>
      </c>
    </row>
    <row r="16" spans="1:29" ht="29.1" hidden="1">
      <c r="A16"/>
      <c r="B16" s="1"/>
      <c r="C16" s="1"/>
      <c r="D16" s="1"/>
      <c r="E16" s="1"/>
      <c r="F16" s="1"/>
      <c r="G16"/>
      <c r="H16" s="1"/>
      <c r="I16" s="1"/>
      <c r="J16" s="2"/>
      <c r="K16" s="4"/>
      <c r="L16" s="2"/>
      <c r="M16" s="2"/>
      <c r="N16" s="5"/>
      <c r="O16" s="2"/>
      <c r="P16" s="2"/>
      <c r="Q16" s="2"/>
      <c r="R16" s="5"/>
      <c r="S16" s="2"/>
      <c r="T16" s="2"/>
      <c r="U16" s="2"/>
      <c r="V16" s="2"/>
      <c r="W16" s="2"/>
      <c r="Y16" s="9"/>
      <c r="Z16" s="10" t="s">
        <v>515</v>
      </c>
      <c r="AA16" s="10" t="s">
        <v>516</v>
      </c>
    </row>
    <row r="17" spans="1:29" hidden="1">
      <c r="A17" s="3" t="s">
        <v>522</v>
      </c>
      <c r="B17" s="1">
        <v>661</v>
      </c>
      <c r="C17" s="1">
        <f>H17/B17</f>
        <v>456.88350983358549</v>
      </c>
      <c r="D17" s="5">
        <f>D27</f>
        <v>0.05</v>
      </c>
      <c r="E17" s="16">
        <f>ROUND(C17*(1+D17)^5-C17,0)</f>
        <v>126</v>
      </c>
      <c r="F17" s="5">
        <f>F27</f>
        <v>0.05</v>
      </c>
      <c r="G17" s="16">
        <f>ROUND(B17*(1+F17)^5-B17,0)</f>
        <v>183</v>
      </c>
      <c r="H17" s="1">
        <v>302000</v>
      </c>
      <c r="I17" s="16">
        <f>B17+G17</f>
        <v>844</v>
      </c>
      <c r="J17" s="2">
        <v>8920</v>
      </c>
      <c r="K17" s="4">
        <v>0.12</v>
      </c>
      <c r="L17" s="2">
        <f>J17*K17</f>
        <v>1070.3999999999999</v>
      </c>
      <c r="M17" s="2">
        <f>H17*L17</f>
        <v>323260799.99999994</v>
      </c>
      <c r="N17" s="2"/>
      <c r="O17" s="19">
        <f>I17</f>
        <v>844</v>
      </c>
      <c r="P17" s="8">
        <f>(C17+E17)*O17</f>
        <v>491953.6822995462</v>
      </c>
      <c r="Q17" s="2">
        <f>(B17+G17)*(C17+E17)*J17*K17</f>
        <v>526587221.53343421</v>
      </c>
      <c r="R17" s="2"/>
      <c r="S17" s="1">
        <f>B17</f>
        <v>661</v>
      </c>
      <c r="T17" s="2">
        <f>T3</f>
        <v>7000000</v>
      </c>
      <c r="U17" s="2">
        <f>S17*T17</f>
        <v>4627000000</v>
      </c>
      <c r="V17" s="1">
        <f>O17</f>
        <v>844</v>
      </c>
      <c r="W17" s="2">
        <f>V17*T17</f>
        <v>5908000000</v>
      </c>
      <c r="Y17" s="11" t="s">
        <v>85</v>
      </c>
      <c r="Z17" s="12" t="e">
        <f>'Data Details'!#REF!</f>
        <v>#REF!</v>
      </c>
      <c r="AA17" s="12" t="e">
        <f>'Data Details'!#REF!</f>
        <v>#REF!</v>
      </c>
    </row>
    <row r="18" spans="1:29" hidden="1">
      <c r="A18" t="s">
        <v>517</v>
      </c>
      <c r="B18" s="1">
        <v>498</v>
      </c>
      <c r="C18" s="5">
        <f>B18/B17</f>
        <v>0.75340393343419065</v>
      </c>
      <c r="D18" s="5"/>
      <c r="E18" s="1"/>
      <c r="F18" s="1"/>
      <c r="G18"/>
      <c r="H18" s="1"/>
      <c r="I18" s="1"/>
      <c r="J18" s="2"/>
      <c r="K18" s="4"/>
      <c r="L18" s="2"/>
      <c r="M18" s="2">
        <f>135000000</f>
        <v>135000000</v>
      </c>
      <c r="N18" s="5">
        <f>M18/M17</f>
        <v>0.41761945772577441</v>
      </c>
      <c r="O18" s="2"/>
      <c r="P18" s="2"/>
      <c r="Q18" s="2">
        <f>M18</f>
        <v>135000000</v>
      </c>
      <c r="R18" s="5">
        <f>Q18/Q17</f>
        <v>0.25636778577132363</v>
      </c>
      <c r="S18" s="2"/>
      <c r="T18" s="2"/>
      <c r="U18" s="2"/>
      <c r="V18" s="2"/>
      <c r="W18" s="2"/>
      <c r="Y18" s="11" t="s">
        <v>112</v>
      </c>
      <c r="Z18" s="12" t="e">
        <f>'Data Details'!#REF!</f>
        <v>#REF!</v>
      </c>
      <c r="AA18" s="12" t="e">
        <f>'Data Details'!#REF!</f>
        <v>#REF!</v>
      </c>
    </row>
    <row r="19" spans="1:29" hidden="1">
      <c r="A19" s="3" t="s">
        <v>518</v>
      </c>
      <c r="B19" s="1"/>
      <c r="C19" s="1"/>
      <c r="D19" s="1"/>
      <c r="E19" s="1"/>
      <c r="F19" s="1"/>
      <c r="G19"/>
      <c r="H19" s="1"/>
      <c r="I19" s="1"/>
      <c r="J19" s="2"/>
      <c r="K19" s="4"/>
      <c r="L19" s="2"/>
      <c r="M19" s="2"/>
      <c r="N19" s="5">
        <f>U19/U17</f>
        <v>0</v>
      </c>
      <c r="O19" s="2"/>
      <c r="P19" s="2"/>
      <c r="Q19" s="2"/>
      <c r="R19" s="5">
        <f>W19/W17</f>
        <v>0</v>
      </c>
      <c r="S19" s="2"/>
      <c r="T19" s="2"/>
      <c r="U19" s="2"/>
      <c r="V19" s="2"/>
      <c r="W19" s="2"/>
      <c r="Y19" s="11" t="s">
        <v>127</v>
      </c>
      <c r="Z19" s="12" t="e">
        <f>'Data Details'!#REF!</f>
        <v>#REF!</v>
      </c>
      <c r="AA19" s="12" t="e">
        <f>'Data Details'!#REF!</f>
        <v>#REF!</v>
      </c>
    </row>
    <row r="20" spans="1:29" hidden="1">
      <c r="A20" t="s">
        <v>519</v>
      </c>
      <c r="B20" s="1"/>
      <c r="C20" s="1"/>
      <c r="D20" s="1"/>
      <c r="E20" s="1"/>
      <c r="F20" s="1"/>
      <c r="G20"/>
      <c r="H20" s="1"/>
      <c r="I20" s="1"/>
      <c r="J20" s="2"/>
      <c r="K20" s="4"/>
      <c r="L20" s="2"/>
      <c r="M20" s="2"/>
      <c r="N20" s="5">
        <v>0</v>
      </c>
      <c r="O20" s="1">
        <f>B20*0.75</f>
        <v>0</v>
      </c>
      <c r="P20" s="2"/>
      <c r="Q20" s="2"/>
      <c r="R20" s="5">
        <f>O20/O17</f>
        <v>0</v>
      </c>
      <c r="S20" s="2"/>
      <c r="T20" s="2"/>
      <c r="U20" s="2"/>
      <c r="V20" s="2"/>
      <c r="W20" s="2"/>
      <c r="Y20" s="11" t="s">
        <v>187</v>
      </c>
      <c r="Z20" s="12" t="e">
        <f>SUM(Z17:Z19)</f>
        <v>#REF!</v>
      </c>
      <c r="AA20" s="12" t="e">
        <f>SUM(AA17:AA19)</f>
        <v>#REF!</v>
      </c>
    </row>
    <row r="21" spans="1:29" hidden="1">
      <c r="A21" t="s">
        <v>520</v>
      </c>
      <c r="B21" s="1"/>
      <c r="C21" s="5"/>
      <c r="D21" s="1"/>
      <c r="E21" s="1"/>
      <c r="F21" s="1"/>
      <c r="G21"/>
      <c r="H21" s="1">
        <f>H17*U21/U17</f>
        <v>0</v>
      </c>
      <c r="I21" s="5">
        <f>H21/H17</f>
        <v>0</v>
      </c>
      <c r="J21" s="2"/>
      <c r="K21" s="4"/>
      <c r="L21" s="2">
        <v>200</v>
      </c>
      <c r="M21" s="2">
        <f>H21*L21</f>
        <v>0</v>
      </c>
      <c r="N21" s="5">
        <f>M21/M17</f>
        <v>0</v>
      </c>
      <c r="O21" s="2"/>
      <c r="P21" s="2"/>
      <c r="Q21" s="17">
        <f>W21/W17*P17*(L21)</f>
        <v>2331534.0393343419</v>
      </c>
      <c r="R21" s="5">
        <f>Q21/Q17</f>
        <v>4.4276312527008546E-3</v>
      </c>
      <c r="S21" s="5"/>
      <c r="T21" s="2"/>
      <c r="U21" s="2">
        <v>0</v>
      </c>
      <c r="V21" s="2"/>
      <c r="W21" s="2">
        <v>140000000</v>
      </c>
    </row>
    <row r="22" spans="1:29" hidden="1">
      <c r="A22" s="3" t="s">
        <v>187</v>
      </c>
      <c r="B22" s="1"/>
      <c r="C22" s="1"/>
      <c r="D22" s="1"/>
      <c r="E22" s="1"/>
      <c r="F22" s="1"/>
      <c r="G22"/>
      <c r="H22" s="1"/>
      <c r="I22" s="1"/>
      <c r="J22" s="2"/>
      <c r="K22" s="4"/>
      <c r="L22" s="2"/>
      <c r="M22" s="2"/>
      <c r="N22" s="5">
        <f>SUM(N18:N21)</f>
        <v>0.41761945772577441</v>
      </c>
      <c r="O22" s="2"/>
      <c r="P22" s="2"/>
      <c r="Q22" s="2"/>
      <c r="R22" s="5">
        <f>SUM(R18:R21)</f>
        <v>0.26079541702402448</v>
      </c>
      <c r="S22" s="2"/>
      <c r="T22" s="2"/>
      <c r="U22" s="2"/>
      <c r="V22" s="2"/>
      <c r="W22" s="2"/>
    </row>
    <row r="23" spans="1:29" hidden="1">
      <c r="A23"/>
      <c r="B23" s="1"/>
      <c r="C23" s="1"/>
      <c r="D23" s="1"/>
      <c r="E23" s="1"/>
      <c r="F23" s="1"/>
      <c r="G23"/>
      <c r="H23" s="1"/>
      <c r="I23" s="1"/>
      <c r="J23" s="2"/>
      <c r="K23" s="4"/>
      <c r="L23" s="2"/>
      <c r="M23" s="2"/>
      <c r="N23" s="5"/>
      <c r="O23" s="2"/>
      <c r="P23" s="2"/>
      <c r="Q23" s="2"/>
      <c r="R23" s="5"/>
      <c r="S23" s="2"/>
      <c r="T23" s="2"/>
      <c r="U23" s="2"/>
      <c r="V23" s="2"/>
      <c r="W23" s="2"/>
    </row>
    <row r="24" spans="1:29" hidden="1">
      <c r="A24" s="3" t="s">
        <v>521</v>
      </c>
      <c r="H24" s="1">
        <v>120700</v>
      </c>
      <c r="I24" s="1"/>
      <c r="J24" s="2">
        <v>9574.7424143671105</v>
      </c>
      <c r="K24" s="4">
        <f>K10</f>
        <v>0.12</v>
      </c>
      <c r="L24" s="2">
        <f t="shared" ref="L24:L25" si="0">J24*K24</f>
        <v>1148.9690897240532</v>
      </c>
      <c r="M24" s="2">
        <f>H24*L24</f>
        <v>138680569.12969321</v>
      </c>
      <c r="N24" s="2"/>
      <c r="O24" s="2"/>
      <c r="P24" s="2"/>
      <c r="Q24" s="2"/>
      <c r="R24" s="2"/>
      <c r="S24" s="2"/>
      <c r="T24" s="2"/>
      <c r="U24" s="2"/>
      <c r="V24" s="2"/>
      <c r="W24" s="2"/>
    </row>
    <row r="25" spans="1:29" hidden="1">
      <c r="A25" s="3" t="s">
        <v>522</v>
      </c>
      <c r="H25" s="1" t="e">
        <f>#REF!</f>
        <v>#REF!</v>
      </c>
      <c r="I25" s="1"/>
      <c r="J25" s="2">
        <v>8919.9566572185904</v>
      </c>
      <c r="K25" s="4">
        <f>K10</f>
        <v>0.12</v>
      </c>
      <c r="L25" s="2">
        <f t="shared" si="0"/>
        <v>1070.3947988662308</v>
      </c>
      <c r="M25" s="2" t="e">
        <f>H25*L25</f>
        <v>#REF!</v>
      </c>
      <c r="N25" s="2"/>
      <c r="O25" s="2"/>
      <c r="P25" s="2"/>
      <c r="Q25" s="2"/>
      <c r="R25" s="2"/>
      <c r="S25" s="2"/>
      <c r="T25" s="2"/>
      <c r="U25" s="2"/>
      <c r="V25" s="2"/>
      <c r="W25" s="2"/>
    </row>
    <row r="26" spans="1:29" hidden="1"/>
    <row r="27" spans="1:29" ht="29.45" customHeight="1">
      <c r="A27" s="3" t="s">
        <v>523</v>
      </c>
      <c r="B27">
        <v>20</v>
      </c>
      <c r="C27" s="1">
        <v>500</v>
      </c>
      <c r="D27" s="5">
        <v>0.05</v>
      </c>
      <c r="E27" s="16">
        <f>ROUNDUP(C27*(1+D27)^5-C27,0)</f>
        <v>139</v>
      </c>
      <c r="F27" s="5">
        <v>0.05</v>
      </c>
      <c r="G27" s="14">
        <f>ROUNDUP(B27*(1+F27)^5,0)-B27</f>
        <v>6</v>
      </c>
      <c r="H27" s="1">
        <f>(B27)*(C27)</f>
        <v>10000</v>
      </c>
      <c r="I27" s="15">
        <f>B27+G27</f>
        <v>26</v>
      </c>
      <c r="J27" s="2">
        <v>10000</v>
      </c>
      <c r="K27" s="4">
        <f>K10</f>
        <v>0.12</v>
      </c>
      <c r="L27" s="2">
        <f>J27*K27</f>
        <v>1200</v>
      </c>
      <c r="M27" s="2">
        <f>H27*L27</f>
        <v>12000000</v>
      </c>
      <c r="N27" s="2"/>
      <c r="O27" s="19">
        <f>I27</f>
        <v>26</v>
      </c>
      <c r="P27" s="19">
        <f>(C27+E27)*O27</f>
        <v>16614</v>
      </c>
      <c r="Q27" s="2">
        <f>(B27+G27)*(C27+E27)*J27*K27</f>
        <v>19936800</v>
      </c>
      <c r="R27" s="2"/>
      <c r="S27" s="2"/>
      <c r="T27" s="2"/>
      <c r="U27" s="2"/>
      <c r="V27" s="2"/>
      <c r="W27" s="2"/>
      <c r="Y27" s="9"/>
      <c r="Z27" s="10" t="s">
        <v>524</v>
      </c>
      <c r="AA27" s="10" t="s">
        <v>525</v>
      </c>
      <c r="AB27" s="10" t="s">
        <v>516</v>
      </c>
      <c r="AC27" s="57" t="s">
        <v>158</v>
      </c>
    </row>
    <row r="28" spans="1:29">
      <c r="A28" t="s">
        <v>517</v>
      </c>
      <c r="H28" s="1">
        <f>H27*0.6</f>
        <v>6000</v>
      </c>
      <c r="L28" s="2">
        <v>300</v>
      </c>
      <c r="M28" s="2">
        <f>H28*L28</f>
        <v>1800000</v>
      </c>
      <c r="N28" s="5">
        <f>M28/M27</f>
        <v>0.15</v>
      </c>
      <c r="O28" s="5"/>
      <c r="P28" s="1"/>
      <c r="Q28" s="2">
        <f>M28</f>
        <v>1800000</v>
      </c>
      <c r="R28" s="5">
        <f>Q28/Q27</f>
        <v>9.0285301552907191E-2</v>
      </c>
      <c r="S28" s="5"/>
      <c r="T28" s="5"/>
      <c r="U28" s="5"/>
      <c r="V28" s="5"/>
      <c r="W28" s="5"/>
      <c r="Y28" s="11" t="s">
        <v>85</v>
      </c>
      <c r="Z28" s="12">
        <f>Z48</f>
        <v>0.49369663932353541</v>
      </c>
      <c r="AA28" s="12">
        <f>AA48</f>
        <v>0.3957165235612965</v>
      </c>
      <c r="AB28" s="12" t="e">
        <f>AB48</f>
        <v>#REF!</v>
      </c>
      <c r="AC28" s="12">
        <f>AC48</f>
        <v>0.3957165235612965</v>
      </c>
    </row>
    <row r="29" spans="1:29">
      <c r="A29" t="s">
        <v>519</v>
      </c>
      <c r="B29">
        <v>5</v>
      </c>
      <c r="C29">
        <v>500</v>
      </c>
      <c r="D29"/>
      <c r="H29" s="1">
        <f>B29*C29</f>
        <v>2500</v>
      </c>
      <c r="L29" s="2"/>
      <c r="M29" s="2"/>
      <c r="N29" s="5">
        <f>B29/B27</f>
        <v>0.25</v>
      </c>
      <c r="O29" s="18">
        <f>ROUND(B29*0.75+G27*0.25,0)</f>
        <v>5</v>
      </c>
      <c r="P29" s="5"/>
      <c r="Q29" s="5"/>
      <c r="R29" s="5">
        <f>O29/O27</f>
        <v>0.19230769230769232</v>
      </c>
      <c r="S29" s="5"/>
      <c r="T29" s="5"/>
      <c r="U29" s="5"/>
      <c r="V29" s="5"/>
      <c r="W29" s="5"/>
      <c r="Y29" s="11" t="s">
        <v>112</v>
      </c>
      <c r="Z29" s="12">
        <f t="shared" ref="Z29:AA29" si="1">Z49</f>
        <v>2.6089123799989421E-2</v>
      </c>
      <c r="AA29" s="12">
        <f t="shared" si="1"/>
        <v>2.5333331199578892E-2</v>
      </c>
      <c r="AB29" s="12" t="e">
        <f t="shared" ref="AB29:AC29" si="2">AB49</f>
        <v>#REF!</v>
      </c>
      <c r="AC29" s="12">
        <f t="shared" si="2"/>
        <v>2.5333331199578892E-2</v>
      </c>
    </row>
    <row r="30" spans="1:29">
      <c r="A30" t="s">
        <v>520</v>
      </c>
      <c r="B30">
        <v>5</v>
      </c>
      <c r="C30" s="1">
        <v>500</v>
      </c>
      <c r="D30" s="1"/>
      <c r="H30" s="1">
        <f>B30*C30</f>
        <v>2500</v>
      </c>
      <c r="L30" s="2">
        <v>200</v>
      </c>
      <c r="M30" s="2">
        <f>H30*L30</f>
        <v>500000</v>
      </c>
      <c r="N30" s="5">
        <f>M30/M27</f>
        <v>4.1666666666666664E-2</v>
      </c>
      <c r="O30" s="13">
        <v>6</v>
      </c>
      <c r="P30" s="4"/>
      <c r="Q30" s="2">
        <f>O30*300*(C27+E27)</f>
        <v>1150200</v>
      </c>
      <c r="R30" s="5">
        <f>Q30/Q27</f>
        <v>5.7692307692307696E-2</v>
      </c>
      <c r="S30" s="5"/>
      <c r="T30" s="5"/>
      <c r="U30" s="5"/>
      <c r="V30" s="5"/>
      <c r="W30" s="5"/>
      <c r="Y30" s="11" t="s">
        <v>127</v>
      </c>
      <c r="Z30" s="12">
        <f t="shared" ref="Z30:AA30" si="3">Z50</f>
        <v>0</v>
      </c>
      <c r="AA30" s="12">
        <f t="shared" si="3"/>
        <v>0</v>
      </c>
      <c r="AB30" s="12" t="e">
        <f t="shared" ref="AB30:AC30" si="4">AB50</f>
        <v>#REF!</v>
      </c>
      <c r="AC30" s="12">
        <f t="shared" si="4"/>
        <v>0</v>
      </c>
    </row>
    <row r="31" spans="1:29">
      <c r="A31" s="3" t="s">
        <v>187</v>
      </c>
      <c r="B31"/>
      <c r="C31" s="1"/>
      <c r="D31" s="1"/>
      <c r="H31" s="1"/>
      <c r="L31" s="2"/>
      <c r="M31" s="2"/>
      <c r="N31" s="5">
        <f>SUM(N28:N30)</f>
        <v>0.44166666666666671</v>
      </c>
      <c r="O31" s="4"/>
      <c r="P31" s="4"/>
      <c r="Q31" s="4"/>
      <c r="R31" s="5">
        <f>SUM(R28:R30)</f>
        <v>0.3402853015529072</v>
      </c>
      <c r="S31" s="5"/>
      <c r="T31" s="5"/>
      <c r="U31" s="5"/>
      <c r="V31" s="5"/>
      <c r="W31" s="5"/>
      <c r="Y31" s="11" t="s">
        <v>187</v>
      </c>
      <c r="Z31" s="12">
        <f>SUM(Z28:Z30)</f>
        <v>0.51978576312352487</v>
      </c>
      <c r="AA31" s="12">
        <f>SUM(AA28:AA30)</f>
        <v>0.42104985476087536</v>
      </c>
      <c r="AB31" s="12" t="e">
        <f>SUM(AB28:AB30)</f>
        <v>#REF!</v>
      </c>
      <c r="AC31" s="12">
        <f>SUM(AC28:AC30)</f>
        <v>0.42104985476087536</v>
      </c>
    </row>
    <row r="32" spans="1:29">
      <c r="B32"/>
      <c r="C32" s="1"/>
      <c r="D32" s="1"/>
      <c r="H32" s="1"/>
      <c r="L32" s="2"/>
      <c r="M32" s="2"/>
      <c r="N32" s="5"/>
      <c r="O32" s="4"/>
      <c r="P32" s="4"/>
      <c r="Q32" s="4"/>
      <c r="R32" s="5"/>
      <c r="S32" s="5"/>
      <c r="T32" s="5"/>
      <c r="U32" s="5"/>
      <c r="V32" s="5"/>
      <c r="W32" s="5"/>
    </row>
    <row r="33" spans="1:29" hidden="1">
      <c r="N33" s="5"/>
      <c r="R33" s="5"/>
      <c r="S33" s="5"/>
      <c r="T33" s="5"/>
      <c r="U33" s="5"/>
      <c r="V33" s="5"/>
      <c r="W33" s="5"/>
    </row>
    <row r="34" spans="1:29" hidden="1">
      <c r="A34" s="3" t="s">
        <v>521</v>
      </c>
      <c r="J34" t="s">
        <v>526</v>
      </c>
      <c r="M34" s="2">
        <v>29250000</v>
      </c>
      <c r="N34" s="2"/>
      <c r="O34" s="2"/>
      <c r="P34" s="2"/>
      <c r="Q34" s="2"/>
      <c r="R34" s="2"/>
      <c r="S34" s="2"/>
      <c r="T34" s="2"/>
      <c r="U34" s="2"/>
      <c r="V34" s="2"/>
      <c r="W34" s="2"/>
    </row>
    <row r="35" spans="1:29" hidden="1">
      <c r="J35" t="s">
        <v>527</v>
      </c>
      <c r="M35" s="2">
        <v>25000000</v>
      </c>
      <c r="N35" s="2"/>
      <c r="O35" s="2"/>
      <c r="P35" s="2"/>
      <c r="Q35" s="2"/>
      <c r="R35" s="2"/>
      <c r="S35" s="2"/>
      <c r="T35" s="2"/>
      <c r="U35" s="2"/>
      <c r="V35" s="2"/>
      <c r="W35" s="2"/>
    </row>
    <row r="36" spans="1:29" hidden="1">
      <c r="M36" s="2"/>
      <c r="N36" s="2"/>
      <c r="O36" s="2"/>
      <c r="P36" s="2"/>
      <c r="Q36" s="2"/>
      <c r="R36" s="2"/>
      <c r="S36" s="2"/>
      <c r="T36" s="2"/>
      <c r="U36" s="2"/>
      <c r="V36" s="2"/>
      <c r="W36" s="2"/>
    </row>
    <row r="37" spans="1:29" hidden="1">
      <c r="M37" s="2"/>
      <c r="N37" s="2"/>
      <c r="O37" s="2"/>
      <c r="P37" s="2"/>
      <c r="Q37" s="2"/>
      <c r="R37" s="2"/>
      <c r="S37" s="2"/>
      <c r="T37" s="2"/>
      <c r="U37" s="2"/>
      <c r="V37" s="2"/>
      <c r="W37" s="2"/>
    </row>
    <row r="38" spans="1:29" s="3" customFormat="1" ht="29.1" hidden="1" customHeight="1">
      <c r="A38" s="3" t="s">
        <v>493</v>
      </c>
      <c r="B38" s="6" t="s">
        <v>494</v>
      </c>
      <c r="C38" s="6" t="s">
        <v>495</v>
      </c>
      <c r="D38" s="6" t="s">
        <v>496</v>
      </c>
      <c r="E38" s="3" t="s">
        <v>497</v>
      </c>
      <c r="F38" s="6" t="s">
        <v>498</v>
      </c>
      <c r="G38" s="6" t="s">
        <v>239</v>
      </c>
      <c r="H38" s="6" t="s">
        <v>499</v>
      </c>
      <c r="I38" s="6" t="s">
        <v>500</v>
      </c>
      <c r="J38" s="6" t="s">
        <v>501</v>
      </c>
      <c r="K38" s="6" t="s">
        <v>502</v>
      </c>
      <c r="L38" s="6" t="s">
        <v>503</v>
      </c>
      <c r="M38" s="6" t="s">
        <v>504</v>
      </c>
      <c r="N38" s="6" t="s">
        <v>505</v>
      </c>
      <c r="O38" s="7" t="s">
        <v>506</v>
      </c>
      <c r="P38" s="7" t="s">
        <v>507</v>
      </c>
      <c r="Q38" s="6" t="s">
        <v>508</v>
      </c>
      <c r="R38" s="7" t="s">
        <v>509</v>
      </c>
      <c r="S38" s="6" t="s">
        <v>510</v>
      </c>
      <c r="T38" s="6" t="s">
        <v>511</v>
      </c>
      <c r="U38" s="6" t="s">
        <v>512</v>
      </c>
      <c r="V38" s="6" t="s">
        <v>513</v>
      </c>
      <c r="W38" s="6" t="s">
        <v>514</v>
      </c>
      <c r="Y38" s="9"/>
      <c r="Z38" s="10" t="s">
        <v>515</v>
      </c>
      <c r="AA38" s="10" t="s">
        <v>516</v>
      </c>
      <c r="AC38" s="55"/>
    </row>
    <row r="39" spans="1:29" hidden="1">
      <c r="A39" s="3" t="s">
        <v>528</v>
      </c>
      <c r="B39" s="1">
        <v>103</v>
      </c>
      <c r="C39" s="1">
        <f>H39/B39</f>
        <v>496.81553398058253</v>
      </c>
      <c r="D39" s="5">
        <f>D27</f>
        <v>0.05</v>
      </c>
      <c r="E39" s="1">
        <f>ROUND(C39*(1+D39)^5-C39,0)</f>
        <v>137</v>
      </c>
      <c r="F39" s="5">
        <f>F27</f>
        <v>0.05</v>
      </c>
      <c r="G39" s="1">
        <f>ROUND((B39*(1+F39)^5-B39),0)</f>
        <v>28</v>
      </c>
      <c r="H39" s="1">
        <v>51172</v>
      </c>
      <c r="I39" s="1">
        <f>B39+G39</f>
        <v>131</v>
      </c>
      <c r="J39" s="2">
        <v>10045</v>
      </c>
      <c r="K39" s="4">
        <v>0.12</v>
      </c>
      <c r="L39" s="2">
        <f>J39*K39</f>
        <v>1205.3999999999999</v>
      </c>
      <c r="M39" s="2">
        <f>H39*L39</f>
        <v>61682728.79999999</v>
      </c>
      <c r="N39" s="2"/>
      <c r="O39" s="19">
        <f>I39</f>
        <v>131</v>
      </c>
      <c r="P39" s="8">
        <f>(C39+E39)*O39</f>
        <v>83029.834951456316</v>
      </c>
      <c r="Q39" s="2">
        <f>(B39+G39)*(C39+E39)*J39*K39</f>
        <v>100084163.05048545</v>
      </c>
      <c r="R39" s="2"/>
      <c r="S39" s="1">
        <f>B39</f>
        <v>103</v>
      </c>
      <c r="T39" s="2">
        <v>7000000</v>
      </c>
      <c r="U39" s="2">
        <f>S39*T39</f>
        <v>721000000</v>
      </c>
      <c r="V39" s="1">
        <f>O39</f>
        <v>131</v>
      </c>
      <c r="W39" s="2">
        <f>V39*(T39+2000000)</f>
        <v>1179000000</v>
      </c>
      <c r="Y39" s="11" t="s">
        <v>85</v>
      </c>
      <c r="Z39" s="12" t="e">
        <f>'Data Details'!#REF!</f>
        <v>#REF!</v>
      </c>
      <c r="AA39" s="12" t="e">
        <f>'Data Details'!#REF!</f>
        <v>#REF!</v>
      </c>
    </row>
    <row r="40" spans="1:29" hidden="1">
      <c r="A40" t="s">
        <v>517</v>
      </c>
      <c r="B40" s="1">
        <v>750</v>
      </c>
      <c r="C40" s="5">
        <f>B40/B39</f>
        <v>7.2815533980582527</v>
      </c>
      <c r="D40" s="5"/>
      <c r="E40" s="1"/>
      <c r="F40" s="1"/>
      <c r="G40"/>
      <c r="H40" s="1">
        <f>B40*C39</f>
        <v>372611.6504854369</v>
      </c>
      <c r="I40" s="1"/>
      <c r="J40" s="2"/>
      <c r="K40" s="4"/>
      <c r="L40" s="2">
        <v>1147</v>
      </c>
      <c r="M40" s="2">
        <f>B40/B39*H39*L40</f>
        <v>427385563.10679615</v>
      </c>
      <c r="N40" s="5">
        <f>M40/M39</f>
        <v>6.928771982389927</v>
      </c>
      <c r="O40" s="2"/>
      <c r="P40" s="2"/>
      <c r="Q40" s="2">
        <f>M40*1.5</f>
        <v>641078344.66019416</v>
      </c>
      <c r="R40" s="5">
        <f>Q40/Q39</f>
        <v>6.4053924729011831</v>
      </c>
      <c r="S40" s="2"/>
      <c r="T40" s="2"/>
      <c r="U40" s="2"/>
      <c r="V40" s="2"/>
      <c r="W40" s="2"/>
      <c r="Y40" s="11" t="s">
        <v>112</v>
      </c>
      <c r="Z40" s="12" t="e">
        <f>'Data Details'!#REF!</f>
        <v>#REF!</v>
      </c>
      <c r="AA40" s="12" t="e">
        <f>'Data Details'!#REF!</f>
        <v>#REF!</v>
      </c>
    </row>
    <row r="41" spans="1:29" hidden="1">
      <c r="A41" s="3" t="s">
        <v>518</v>
      </c>
      <c r="B41" s="1">
        <f>B39*N41</f>
        <v>200</v>
      </c>
      <c r="C41" s="1"/>
      <c r="D41" s="1"/>
      <c r="E41" s="1"/>
      <c r="F41" s="1"/>
      <c r="G41"/>
      <c r="H41" s="1">
        <f>B41*C39</f>
        <v>99363.10679611651</v>
      </c>
      <c r="I41" s="1"/>
      <c r="J41" s="2"/>
      <c r="K41" s="4"/>
      <c r="L41" s="2"/>
      <c r="M41" s="2"/>
      <c r="N41" s="5">
        <f>U41/U39</f>
        <v>1.941747572815534</v>
      </c>
      <c r="O41" s="2"/>
      <c r="P41" s="2"/>
      <c r="Q41" s="2"/>
      <c r="R41" s="5">
        <f>W41/W39</f>
        <v>1.1874469889737065</v>
      </c>
      <c r="S41" s="5"/>
      <c r="T41" s="2"/>
      <c r="U41" s="2">
        <v>1400000000</v>
      </c>
      <c r="V41" s="2"/>
      <c r="W41" s="2">
        <f>U41</f>
        <v>1400000000</v>
      </c>
      <c r="Y41" s="11" t="s">
        <v>127</v>
      </c>
      <c r="Z41" s="12" t="e">
        <f>'Data Details'!#REF!</f>
        <v>#REF!</v>
      </c>
      <c r="AA41" s="12" t="e">
        <f>'Data Details'!#REF!</f>
        <v>#REF!</v>
      </c>
    </row>
    <row r="42" spans="1:29" hidden="1">
      <c r="A42" t="s">
        <v>519</v>
      </c>
      <c r="B42" s="1">
        <f>N42*B39</f>
        <v>44.908000000000001</v>
      </c>
      <c r="C42" s="1"/>
      <c r="D42" s="1"/>
      <c r="E42" s="1"/>
      <c r="F42" s="1"/>
      <c r="G42"/>
      <c r="H42" s="1">
        <f>B42*C39</f>
        <v>22310.992000000002</v>
      </c>
      <c r="I42" s="1"/>
      <c r="J42" s="2"/>
      <c r="K42" s="4"/>
      <c r="L42" s="2"/>
      <c r="M42" s="2"/>
      <c r="N42" s="5">
        <v>0.436</v>
      </c>
      <c r="O42" s="16">
        <f>ROUND(B42*0.75+E39*0.25,0)</f>
        <v>68</v>
      </c>
      <c r="P42" s="2"/>
      <c r="Q42" s="2"/>
      <c r="R42" s="5">
        <f>O42/O39</f>
        <v>0.51908396946564883</v>
      </c>
      <c r="S42" s="2"/>
      <c r="T42" s="2"/>
      <c r="U42" s="2"/>
      <c r="V42" s="2"/>
      <c r="W42" s="2"/>
      <c r="Y42" s="11" t="s">
        <v>187</v>
      </c>
      <c r="Z42" s="12" t="e">
        <f>SUM(Z39:Z41)</f>
        <v>#REF!</v>
      </c>
      <c r="AA42" s="12" t="e">
        <f>SUM(AA39:AA41)</f>
        <v>#REF!</v>
      </c>
    </row>
    <row r="43" spans="1:29" hidden="1">
      <c r="A43" t="s">
        <v>520</v>
      </c>
      <c r="B43" s="1"/>
      <c r="C43" s="1"/>
      <c r="D43" s="1"/>
      <c r="E43" s="1"/>
      <c r="F43" s="1"/>
      <c r="G43"/>
      <c r="H43" s="1"/>
      <c r="I43" s="1"/>
      <c r="J43" s="2"/>
      <c r="K43" s="4"/>
      <c r="L43" s="2"/>
      <c r="M43" s="2"/>
      <c r="N43" s="5">
        <v>0</v>
      </c>
      <c r="O43" s="2"/>
      <c r="P43" s="2"/>
      <c r="Q43" s="2"/>
      <c r="R43" s="5">
        <v>0</v>
      </c>
      <c r="S43" s="2"/>
      <c r="T43" s="2"/>
      <c r="U43" s="2"/>
      <c r="V43" s="2"/>
      <c r="W43" s="2"/>
    </row>
    <row r="44" spans="1:29" hidden="1">
      <c r="A44" s="3" t="s">
        <v>187</v>
      </c>
      <c r="B44" s="1"/>
      <c r="C44" s="1"/>
      <c r="D44" s="1"/>
      <c r="E44" s="1"/>
      <c r="F44" s="1"/>
      <c r="G44"/>
      <c r="H44" s="1"/>
      <c r="I44" s="1"/>
      <c r="J44" s="2"/>
      <c r="K44" s="4"/>
      <c r="L44" s="2"/>
      <c r="M44" s="2"/>
      <c r="N44" s="5">
        <f>SUM(N40:N43)</f>
        <v>9.3065195552054618</v>
      </c>
      <c r="O44" s="2"/>
      <c r="P44" s="2"/>
      <c r="Q44" s="2"/>
      <c r="R44" s="5">
        <f>SUM(R40:R43)</f>
        <v>8.1119234313405393</v>
      </c>
      <c r="S44" s="2"/>
      <c r="T44" s="2"/>
      <c r="U44" s="2"/>
      <c r="V44" s="2"/>
      <c r="W44" s="2"/>
      <c r="Y44" s="3" t="s">
        <v>521</v>
      </c>
    </row>
    <row r="45" spans="1:29" ht="29.1" hidden="1">
      <c r="A45"/>
      <c r="B45" s="1"/>
      <c r="C45" s="1"/>
      <c r="D45" s="1"/>
      <c r="E45" s="1"/>
      <c r="F45" s="1"/>
      <c r="G45"/>
      <c r="H45" s="1"/>
      <c r="I45" s="1"/>
      <c r="J45" s="2"/>
      <c r="K45" s="4"/>
      <c r="L45" s="2"/>
      <c r="M45" s="2"/>
      <c r="N45" s="5"/>
      <c r="O45" s="2"/>
      <c r="P45" s="2"/>
      <c r="Q45" s="2"/>
      <c r="R45" s="5"/>
      <c r="S45" s="2"/>
      <c r="T45" s="2"/>
      <c r="U45" s="2"/>
      <c r="V45" s="2"/>
      <c r="W45" s="2"/>
      <c r="Y45" s="9"/>
      <c r="Z45" s="10" t="s">
        <v>515</v>
      </c>
      <c r="AA45" s="10" t="s">
        <v>516</v>
      </c>
    </row>
    <row r="46" spans="1:29" hidden="1"/>
    <row r="47" spans="1:29" ht="43.5">
      <c r="Y47" s="9"/>
      <c r="Z47" s="10" t="str">
        <f>Z27</f>
        <v>Existing Need Met</v>
      </c>
      <c r="AA47" s="10" t="s">
        <v>529</v>
      </c>
      <c r="AB47" s="10" t="s">
        <v>239</v>
      </c>
      <c r="AC47" s="56" t="str">
        <f>AC27</f>
        <v>Revised
Policy</v>
      </c>
    </row>
    <row r="48" spans="1:29">
      <c r="Y48" s="11" t="s">
        <v>85</v>
      </c>
      <c r="Z48" s="12">
        <f>'Data Details'!E67</f>
        <v>0.49369663932353541</v>
      </c>
      <c r="AA48" s="12">
        <f>'Data Details'!G67</f>
        <v>0.3957165235612965</v>
      </c>
      <c r="AB48" s="12" t="e">
        <f>'Data Details'!#REF!</f>
        <v>#REF!</v>
      </c>
      <c r="AC48" s="12">
        <f>'Data Details'!J67</f>
        <v>0.3957165235612965</v>
      </c>
    </row>
    <row r="49" spans="25:29">
      <c r="Y49" s="11" t="s">
        <v>112</v>
      </c>
      <c r="Z49" s="12">
        <f>'Data Details'!E85</f>
        <v>2.6089123799989421E-2</v>
      </c>
      <c r="AA49" s="12">
        <f>'Data Details'!G85</f>
        <v>2.5333331199578892E-2</v>
      </c>
      <c r="AB49" s="12" t="e">
        <f>'Data Details'!#REF!</f>
        <v>#REF!</v>
      </c>
      <c r="AC49" s="12">
        <f>'Data Details'!J85</f>
        <v>2.5333331199578892E-2</v>
      </c>
    </row>
    <row r="50" spans="25:29">
      <c r="Y50" s="11" t="s">
        <v>127</v>
      </c>
      <c r="Z50" s="12">
        <f>'Data Details'!E98</f>
        <v>0</v>
      </c>
      <c r="AA50" s="12">
        <f>'Data Details'!G110</f>
        <v>0</v>
      </c>
      <c r="AB50" s="12" t="e">
        <f>'Data Details'!#REF!</f>
        <v>#REF!</v>
      </c>
      <c r="AC50" s="12">
        <f>'Data Details'!J110</f>
        <v>0</v>
      </c>
    </row>
    <row r="51" spans="25:29">
      <c r="Y51" s="11" t="s">
        <v>187</v>
      </c>
      <c r="Z51" s="12">
        <f>SUM(Z48:Z50)</f>
        <v>0.51978576312352487</v>
      </c>
      <c r="AA51" s="12">
        <f>SUM(AA48:AA50)</f>
        <v>0.42104985476087536</v>
      </c>
      <c r="AB51" s="12" t="e">
        <f>SUM(AB48:AB50)</f>
        <v>#REF!</v>
      </c>
      <c r="AC51" s="12">
        <f>SUM(AC48:AC50)</f>
        <v>0.42104985476087536</v>
      </c>
    </row>
  </sheetData>
  <pageMargins left="0.7" right="0.7" top="0.75" bottom="0.75" header="0.3" footer="0.3"/>
  <pageSetup orientation="portrait" r:id="rId1"/>
  <ignoredErrors>
    <ignoredError sqref="E39"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346E3-35B8-4071-93F1-D7FB74C6DFA4}">
  <dimension ref="A1:AO114"/>
  <sheetViews>
    <sheetView topLeftCell="A43" zoomScale="70" zoomScaleNormal="70" workbookViewId="0">
      <selection activeCell="C2" sqref="C2"/>
    </sheetView>
  </sheetViews>
  <sheetFormatPr defaultRowHeight="14.45"/>
  <cols>
    <col min="1" max="2" width="5.28515625" customWidth="1"/>
    <col min="3" max="4" width="36.5703125" customWidth="1"/>
    <col min="5" max="5" width="38" customWidth="1"/>
    <col min="6" max="6" width="14.42578125" bestFit="1" customWidth="1"/>
    <col min="7" max="7" width="14.42578125" customWidth="1"/>
  </cols>
  <sheetData>
    <row r="1" spans="1:41" ht="16.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row>
    <row r="2" spans="1:41" ht="16.5" customHeight="1">
      <c r="A2" s="65"/>
      <c r="B2" s="63"/>
      <c r="C2" s="74" t="s">
        <v>16</v>
      </c>
      <c r="D2" s="74"/>
      <c r="E2" s="75"/>
      <c r="F2" s="75"/>
      <c r="G2" s="75"/>
      <c r="H2" s="76"/>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row>
    <row r="3" spans="1:41" ht="24" customHeight="1">
      <c r="A3" s="65"/>
      <c r="B3" s="64"/>
      <c r="C3" s="231" t="s">
        <v>530</v>
      </c>
      <c r="D3" s="231"/>
      <c r="E3" s="231"/>
      <c r="F3" s="77"/>
      <c r="G3" s="77"/>
      <c r="H3" s="78"/>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row>
    <row r="4" spans="1:41" ht="35.25" customHeight="1">
      <c r="A4" s="65"/>
      <c r="B4" s="64"/>
      <c r="C4" s="231"/>
      <c r="D4" s="231"/>
      <c r="E4" s="231"/>
      <c r="F4" s="77"/>
      <c r="G4" s="77"/>
      <c r="H4" s="78"/>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row>
    <row r="5" spans="1:41" ht="16.5" customHeight="1">
      <c r="A5" s="65"/>
      <c r="B5" s="64"/>
      <c r="C5" s="93" t="s">
        <v>531</v>
      </c>
      <c r="D5" s="93" t="s">
        <v>19</v>
      </c>
      <c r="E5" s="93" t="s">
        <v>532</v>
      </c>
      <c r="F5" s="93" t="s">
        <v>21</v>
      </c>
      <c r="G5" s="95" t="s">
        <v>533</v>
      </c>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row>
    <row r="6" spans="1:41" ht="16.5" customHeight="1">
      <c r="A6" s="65"/>
      <c r="B6" s="64"/>
      <c r="C6" s="79" t="s">
        <v>534</v>
      </c>
      <c r="D6" s="79" t="s">
        <v>535</v>
      </c>
      <c r="E6" s="79" t="s">
        <v>360</v>
      </c>
      <c r="F6" s="89" t="s">
        <v>360</v>
      </c>
      <c r="G6" s="95"/>
      <c r="H6" s="78"/>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row>
    <row r="7" spans="1:41" ht="25.5" customHeight="1">
      <c r="A7" s="65"/>
      <c r="B7" s="64"/>
      <c r="C7" s="67" t="s">
        <v>536</v>
      </c>
      <c r="D7" s="67"/>
      <c r="E7" s="80">
        <v>0.25</v>
      </c>
      <c r="F7" s="90">
        <v>0.35</v>
      </c>
      <c r="G7" s="96"/>
      <c r="H7" s="78"/>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row>
    <row r="8" spans="1:41" ht="32.25" customHeight="1">
      <c r="A8" s="65"/>
      <c r="B8" s="64"/>
      <c r="C8" s="79" t="s">
        <v>537</v>
      </c>
      <c r="D8" s="79"/>
      <c r="E8" s="81">
        <v>16000</v>
      </c>
      <c r="F8" s="91">
        <v>16000</v>
      </c>
      <c r="G8" s="97"/>
      <c r="H8" s="78"/>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row>
    <row r="9" spans="1:41" ht="27" customHeight="1">
      <c r="A9" s="65"/>
      <c r="B9" s="64"/>
      <c r="C9" s="67" t="s">
        <v>538</v>
      </c>
      <c r="D9" s="67"/>
      <c r="E9" s="81">
        <v>750</v>
      </c>
      <c r="F9" s="91">
        <v>750</v>
      </c>
      <c r="G9" s="97"/>
      <c r="H9" s="78"/>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row>
    <row r="10" spans="1:41" ht="16.5" customHeight="1">
      <c r="A10" s="65"/>
      <c r="B10" s="64"/>
      <c r="C10" s="68" t="s">
        <v>539</v>
      </c>
      <c r="D10" s="68"/>
      <c r="E10" s="81">
        <v>0</v>
      </c>
      <c r="F10" s="92">
        <v>10000000</v>
      </c>
      <c r="G10" s="98"/>
      <c r="H10" s="78"/>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row>
    <row r="11" spans="1:41" ht="36.75" customHeight="1">
      <c r="A11" s="65"/>
      <c r="B11" s="64"/>
      <c r="C11" s="94" t="s">
        <v>540</v>
      </c>
      <c r="D11" s="94"/>
      <c r="E11" s="12">
        <f>'Data Details'!I58</f>
        <v>6.1600501559222851E-2</v>
      </c>
      <c r="F11" s="92"/>
      <c r="G11" s="98"/>
      <c r="H11" s="78"/>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row>
    <row r="12" spans="1:41" ht="33" customHeight="1">
      <c r="A12" s="65"/>
      <c r="B12" s="64"/>
      <c r="C12" s="69" t="s">
        <v>541</v>
      </c>
      <c r="D12" s="69"/>
      <c r="E12" s="80">
        <v>0</v>
      </c>
      <c r="F12" s="90">
        <v>0.04</v>
      </c>
      <c r="G12" s="96"/>
      <c r="H12" s="78"/>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row>
    <row r="13" spans="1:41" ht="30" customHeight="1">
      <c r="A13" s="65"/>
      <c r="B13" s="64"/>
      <c r="C13" s="67" t="s">
        <v>542</v>
      </c>
      <c r="D13" s="67"/>
      <c r="E13" s="79">
        <v>3</v>
      </c>
      <c r="F13" s="89">
        <v>3</v>
      </c>
      <c r="G13" s="95"/>
      <c r="H13" s="78"/>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row>
    <row r="14" spans="1:41" ht="26.1">
      <c r="A14" s="65"/>
      <c r="B14" s="64"/>
      <c r="C14" s="67" t="s">
        <v>543</v>
      </c>
      <c r="D14" s="67"/>
      <c r="E14" s="79">
        <v>3</v>
      </c>
      <c r="F14" s="89">
        <v>3</v>
      </c>
      <c r="G14" s="95"/>
      <c r="H14" s="78"/>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row>
    <row r="15" spans="1:41" ht="26.1">
      <c r="A15" s="65"/>
      <c r="B15" s="64"/>
      <c r="C15" s="67" t="s">
        <v>544</v>
      </c>
      <c r="D15" s="67"/>
      <c r="E15" s="81">
        <v>45000000</v>
      </c>
      <c r="F15" s="91">
        <v>450000000</v>
      </c>
      <c r="G15" s="97"/>
      <c r="H15" s="78"/>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row>
    <row r="16" spans="1:41">
      <c r="A16" s="65"/>
      <c r="B16" s="64"/>
      <c r="C16" s="65" t="s">
        <v>545</v>
      </c>
      <c r="D16" s="65"/>
      <c r="E16" s="65"/>
      <c r="F16" s="65"/>
      <c r="G16" s="65"/>
      <c r="H16" s="66"/>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row>
    <row r="17" spans="1:41">
      <c r="A17" s="65"/>
      <c r="B17" s="64"/>
      <c r="C17" s="71" t="s">
        <v>546</v>
      </c>
      <c r="D17" s="65"/>
      <c r="E17" s="65"/>
      <c r="F17" s="65"/>
      <c r="G17" s="65"/>
      <c r="H17" s="66"/>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row>
    <row r="18" spans="1:41">
      <c r="A18" s="65"/>
      <c r="B18" s="70"/>
      <c r="E18" s="71"/>
      <c r="F18" s="71"/>
      <c r="G18" s="71"/>
      <c r="H18" s="72"/>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1:4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row>
    <row r="20" spans="1:4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row>
    <row r="21" spans="1:41">
      <c r="A21" s="65"/>
      <c r="B21" s="65"/>
      <c r="C21" s="82"/>
      <c r="D21" s="82"/>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row>
    <row r="22" spans="1:41">
      <c r="A22" s="65"/>
      <c r="B22" s="65"/>
      <c r="C22" s="231"/>
      <c r="D22" s="231"/>
      <c r="E22" s="231"/>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row>
    <row r="23" spans="1:41">
      <c r="A23" s="65"/>
      <c r="B23" s="65"/>
      <c r="C23" s="231"/>
      <c r="D23" s="231"/>
      <c r="E23" s="231"/>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row>
    <row r="24" spans="1:41">
      <c r="A24" s="65"/>
      <c r="B24" s="65"/>
      <c r="C24" s="82"/>
      <c r="D24" s="82"/>
      <c r="E24" s="82"/>
      <c r="F24" s="82"/>
      <c r="G24" s="82"/>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row>
    <row r="25" spans="1:41">
      <c r="A25" s="65"/>
      <c r="B25" s="65"/>
      <c r="C25" s="83"/>
      <c r="D25" s="83"/>
      <c r="E25" s="84"/>
      <c r="F25" s="84"/>
      <c r="G25" s="84"/>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row>
    <row r="26" spans="1:41">
      <c r="A26" s="65"/>
      <c r="B26" s="65"/>
      <c r="C26" s="85"/>
      <c r="D26" s="85"/>
      <c r="E26" s="84"/>
      <c r="F26" s="86"/>
      <c r="G26" s="86"/>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row>
    <row r="27" spans="1:41">
      <c r="A27" s="65"/>
      <c r="B27" s="65"/>
      <c r="C27" s="87"/>
      <c r="D27" s="87"/>
      <c r="E27" s="88"/>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row>
    <row r="28" spans="1:41">
      <c r="A28" s="65"/>
      <c r="B28" s="65"/>
      <c r="C28" s="83"/>
      <c r="D28" s="83"/>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row>
    <row r="29" spans="1:41">
      <c r="A29" s="65"/>
      <c r="B29" s="65"/>
      <c r="C29" s="83"/>
      <c r="D29" s="83"/>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row>
    <row r="30" spans="1:41">
      <c r="A30" s="65"/>
      <c r="B30" s="65"/>
      <c r="C30" s="83"/>
      <c r="D30" s="83"/>
      <c r="E30" s="84"/>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row>
    <row r="31" spans="1:4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row>
    <row r="32" spans="1:4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row>
    <row r="33" spans="1:4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row>
    <row r="34" spans="1:4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row>
    <row r="35" spans="1:4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row>
    <row r="36" spans="1:4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row>
    <row r="37" spans="1:4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row>
    <row r="38" spans="1:4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row>
    <row r="39" spans="1:4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row>
    <row r="40" spans="1:4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row>
    <row r="41" spans="1:4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row>
    <row r="42" spans="1:4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row>
    <row r="43" spans="1:4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row>
    <row r="44" spans="1:4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row>
    <row r="45" spans="1:4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row>
    <row r="46" spans="1:4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row>
    <row r="47" spans="1:4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row>
    <row r="48" spans="1:4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row>
    <row r="49" spans="1:4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row>
    <row r="50" spans="1:4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row>
    <row r="51" spans="1:4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row>
    <row r="52" spans="1:4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row>
    <row r="53" spans="1:4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row>
    <row r="54" spans="1:4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row>
    <row r="55" spans="1:4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row>
    <row r="56" spans="1:4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row>
    <row r="57" spans="1:4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row>
    <row r="58" spans="1:4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row>
    <row r="59" spans="1:4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row>
    <row r="60" spans="1:4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row>
    <row r="61" spans="1:4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row>
    <row r="62" spans="1:4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row>
    <row r="63" spans="1:4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row>
    <row r="64" spans="1:4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row>
    <row r="65" spans="1:4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row>
    <row r="66" spans="1:4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row>
    <row r="67" spans="1:4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row>
    <row r="68" spans="1:4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row>
    <row r="69" spans="1:4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row>
    <row r="70" spans="1:4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row>
    <row r="71" spans="1:4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row>
    <row r="72" spans="1:4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row>
    <row r="73" spans="1:4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row>
    <row r="74" spans="1:4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row>
    <row r="75" spans="1:4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row>
    <row r="76" spans="1:4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row>
    <row r="77" spans="1:4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row>
    <row r="78" spans="1:4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row>
    <row r="79" spans="1:4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row>
    <row r="80" spans="1:4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row>
    <row r="81" spans="1:4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row>
    <row r="82" spans="1:4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row>
    <row r="83" spans="1:4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row>
    <row r="84" spans="1:4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row>
    <row r="85" spans="1:4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row>
    <row r="86" spans="1:4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row>
    <row r="87" spans="1:4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row>
    <row r="88" spans="1:4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row>
    <row r="89" spans="1:4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row>
    <row r="90" spans="1:4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row>
    <row r="91" spans="1:4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row>
    <row r="92" spans="1:4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row>
    <row r="93" spans="1:4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row>
    <row r="94" spans="1:4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row>
    <row r="95" spans="1:4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row>
    <row r="96" spans="1:4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row>
    <row r="97" spans="1:4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row>
    <row r="98" spans="1:4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row>
    <row r="99" spans="1:4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row>
    <row r="100" spans="1:4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row>
    <row r="101" spans="1:4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row>
    <row r="102" spans="1:4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row>
    <row r="103" spans="1:4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row>
    <row r="104" spans="1:4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row>
    <row r="105" spans="1:4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row>
    <row r="106" spans="1:4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row>
    <row r="107" spans="1:4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row>
    <row r="108" spans="1:4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row>
    <row r="109" spans="1:4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row>
    <row r="110" spans="1:4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row>
    <row r="111" spans="1:4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row>
    <row r="112" spans="1:4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row>
    <row r="113" spans="1:4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row>
    <row r="114" spans="1:4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row>
  </sheetData>
  <protectedRanges>
    <protectedRange sqref="F6:G15" name="Range1"/>
  </protectedRanges>
  <mergeCells count="2">
    <mergeCell ref="C3:E4"/>
    <mergeCell ref="C22:E23"/>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4BEDAF2ADFEA4285C8BE40506AB288" ma:contentTypeVersion="13" ma:contentTypeDescription="Create a new document." ma:contentTypeScope="" ma:versionID="9501f154d90434f0355d719f955f6b23">
  <xsd:schema xmlns:xsd="http://www.w3.org/2001/XMLSchema" xmlns:xs="http://www.w3.org/2001/XMLSchema" xmlns:p="http://schemas.microsoft.com/office/2006/metadata/properties" xmlns:ns3="c95b4bfa-90c1-465e-a8ae-f6960fbfc2b7" xmlns:ns4="b72cffa6-1579-4333-800d-d845dc4afd72" targetNamespace="http://schemas.microsoft.com/office/2006/metadata/properties" ma:root="true" ma:fieldsID="19d8285a7b226399e9b52d23ad5b9ecf" ns3:_="" ns4:_="">
    <xsd:import namespace="c95b4bfa-90c1-465e-a8ae-f6960fbfc2b7"/>
    <xsd:import namespace="b72cffa6-1579-4333-800d-d845dc4af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5b4bfa-90c1-465e-a8ae-f6960fbfc2b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2cffa6-1579-4333-800d-d845dc4afd72"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0FE84F-811C-433B-BFAF-74B58B1D3B99}"/>
</file>

<file path=customXml/itemProps2.xml><?xml version="1.0" encoding="utf-8"?>
<ds:datastoreItem xmlns:ds="http://schemas.openxmlformats.org/officeDocument/2006/customXml" ds:itemID="{0F33EF90-F5B2-458D-AEAC-465551071C3F}"/>
</file>

<file path=customXml/itemProps3.xml><?xml version="1.0" encoding="utf-8"?>
<ds:datastoreItem xmlns:ds="http://schemas.openxmlformats.org/officeDocument/2006/customXml" ds:itemID="{0D7A7299-A52C-483E-8DC3-6D4F5D8DE7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Joseph (matthewj@excelined.org)</dc:creator>
  <cp:keywords/>
  <dc:description/>
  <cp:lastModifiedBy/>
  <cp:revision/>
  <dcterms:created xsi:type="dcterms:W3CDTF">2018-08-30T18:35:17Z</dcterms:created>
  <dcterms:modified xsi:type="dcterms:W3CDTF">2024-03-01T21:18:10Z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0x010100074BEDAF2ADFEA4285C8BE40506AB288</vt:lpwstr>
  </property>
</Properties>
</file>